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480" yWindow="165" windowWidth="18195" windowHeight="10995"/>
  </bookViews>
  <sheets>
    <sheet name="Evaluation" sheetId="1" r:id="rId1"/>
    <sheet name="Liens utiles" sheetId="3" r:id="rId2"/>
    <sheet name="Superficie commune" sheetId="2" r:id="rId3"/>
  </sheets>
  <calcPr calcId="145621"/>
</workbook>
</file>

<file path=xl/calcChain.xml><?xml version="1.0" encoding="utf-8"?>
<calcChain xmlns="http://schemas.openxmlformats.org/spreadsheetml/2006/main">
  <c r="A19" i="1" l="1"/>
  <c r="K19" i="1"/>
  <c r="L19" i="1" s="1"/>
  <c r="C65" i="1" l="1"/>
  <c r="C66" i="1"/>
  <c r="C78" i="1"/>
  <c r="C79" i="1"/>
  <c r="C80" i="1"/>
  <c r="C81" i="1"/>
  <c r="C82" i="1"/>
  <c r="C83" i="1"/>
  <c r="C84" i="1"/>
  <c r="C85" i="1"/>
  <c r="B43" i="1"/>
  <c r="E35" i="1" l="1"/>
  <c r="E36" i="1"/>
  <c r="E37" i="1"/>
  <c r="E38" i="1"/>
  <c r="E34" i="1"/>
  <c r="B29" i="1"/>
  <c r="B19" i="1" l="1"/>
  <c r="A147" i="1" l="1"/>
  <c r="A49" i="1"/>
  <c r="B147" i="1" l="1"/>
  <c r="A151" i="1" s="1"/>
  <c r="B151" i="1" s="1"/>
  <c r="D151" i="1" s="1"/>
  <c r="B136" i="1"/>
  <c r="A140" i="1" s="1"/>
  <c r="C140" i="1" s="1"/>
  <c r="E140" i="1" s="1"/>
  <c r="A95" i="1"/>
  <c r="D85" i="1"/>
  <c r="D84" i="1"/>
  <c r="D83" i="1"/>
  <c r="D82" i="1"/>
  <c r="D81" i="1"/>
  <c r="D80" i="1"/>
  <c r="D79" i="1"/>
  <c r="D78" i="1"/>
  <c r="A104" i="1" l="1"/>
  <c r="E108" i="1" s="1"/>
  <c r="A125" i="1"/>
  <c r="B125" i="1" s="1"/>
  <c r="A129" i="1" s="1"/>
  <c r="A114" i="1"/>
  <c r="D86" i="1"/>
  <c r="A90" i="1" s="1"/>
  <c r="C90" i="1" s="1"/>
  <c r="E90" i="1" s="1"/>
  <c r="C151" i="1"/>
  <c r="E151" i="1" s="1"/>
  <c r="B140" i="1"/>
  <c r="D140" i="1" s="1"/>
  <c r="X66" i="1"/>
  <c r="X65" i="1"/>
  <c r="A55" i="1"/>
  <c r="F35" i="1"/>
  <c r="G35" i="1" s="1"/>
  <c r="F36" i="1"/>
  <c r="G36" i="1" s="1"/>
  <c r="F37" i="1"/>
  <c r="G37" i="1" s="1"/>
  <c r="F38" i="1"/>
  <c r="G38" i="1" s="1"/>
  <c r="A108" i="1" l="1"/>
  <c r="B108" i="1" s="1"/>
  <c r="C108" i="1" s="1"/>
  <c r="B90" i="1"/>
  <c r="D90" i="1" s="1"/>
  <c r="B129" i="1"/>
  <c r="D129" i="1" s="1"/>
  <c r="C129" i="1"/>
  <c r="E129" i="1" s="1"/>
  <c r="A118" i="1"/>
  <c r="B118" i="1" s="1"/>
  <c r="C118" i="1" s="1"/>
  <c r="E118" i="1"/>
  <c r="G108" i="1"/>
  <c r="I108" i="1" s="1"/>
  <c r="F108" i="1"/>
  <c r="H108" i="1" s="1"/>
  <c r="E29" i="1"/>
  <c r="A24" i="1"/>
  <c r="F29" i="1" l="1"/>
  <c r="C164" i="1"/>
  <c r="F118" i="1"/>
  <c r="H118" i="1" s="1"/>
  <c r="G118" i="1"/>
  <c r="I118" i="1" s="1"/>
  <c r="Y66" i="1"/>
  <c r="Y65" i="1"/>
  <c r="V65" i="1"/>
  <c r="U65" i="1"/>
  <c r="T66" i="1"/>
  <c r="T65" i="1"/>
  <c r="S66" i="1"/>
  <c r="S65" i="1"/>
  <c r="Q66" i="1"/>
  <c r="Q65" i="1"/>
  <c r="P66" i="1"/>
  <c r="P65" i="1"/>
  <c r="O66" i="1"/>
  <c r="O65" i="1"/>
  <c r="M66" i="1"/>
  <c r="M65" i="1"/>
  <c r="L66" i="1"/>
  <c r="L65" i="1"/>
  <c r="J66" i="1"/>
  <c r="J65" i="1"/>
  <c r="H66" i="1"/>
  <c r="H65" i="1"/>
  <c r="F66" i="1"/>
  <c r="Z66" i="1" s="1"/>
  <c r="B69" i="1" s="1"/>
  <c r="D69" i="1" s="1"/>
  <c r="F65" i="1"/>
  <c r="B55" i="1"/>
  <c r="D55" i="1" s="1"/>
  <c r="F55" i="1" s="1"/>
  <c r="B49" i="1"/>
  <c r="C49" i="1" s="1"/>
  <c r="D49" i="1" s="1"/>
  <c r="D166" i="1" l="1"/>
  <c r="Z65" i="1"/>
  <c r="A69" i="1" s="1"/>
  <c r="C55" i="1"/>
  <c r="E55" i="1" s="1"/>
  <c r="C166" i="1" s="1"/>
  <c r="C69" i="1" l="1"/>
  <c r="A73" i="1" s="1"/>
  <c r="C43" i="1"/>
  <c r="D43" i="1" s="1"/>
  <c r="D168" i="1" s="1"/>
  <c r="A159" i="1" l="1"/>
  <c r="C73" i="1"/>
  <c r="E73" i="1" s="1"/>
  <c r="B73" i="1"/>
  <c r="D73" i="1" s="1"/>
  <c r="F34" i="1"/>
  <c r="G34" i="1" s="1"/>
  <c r="G39" i="1" s="1"/>
  <c r="C165" i="1" s="1"/>
  <c r="B159" i="1" l="1"/>
  <c r="D159" i="1" s="1"/>
  <c r="C167" i="1" s="1"/>
  <c r="C159" i="1"/>
  <c r="E159" i="1" s="1"/>
  <c r="D167" i="1" s="1"/>
  <c r="B24" i="1"/>
  <c r="C24" i="1" s="1"/>
  <c r="D169" i="1" s="1"/>
  <c r="C19" i="1"/>
  <c r="F19" i="1" s="1"/>
  <c r="G19" i="1" l="1"/>
  <c r="I19" i="1" s="1"/>
  <c r="J19" i="1" l="1"/>
  <c r="M19" i="1" s="1"/>
  <c r="C170" i="1" s="1"/>
</calcChain>
</file>

<file path=xl/comments1.xml><?xml version="1.0" encoding="utf-8"?>
<comments xmlns="http://schemas.openxmlformats.org/spreadsheetml/2006/main">
  <authors>
    <author>Vaelen, Alexandre</author>
    <author>Benoit VINCENT</author>
  </authors>
  <commentList>
    <comment ref="D9" authorId="0">
      <text>
        <r>
          <rPr>
            <b/>
            <sz val="9"/>
            <color indexed="81"/>
            <rFont val="Tahoma"/>
            <family val="2"/>
          </rPr>
          <t>Prendre le chiffre correspondant à votre commune en ha</t>
        </r>
      </text>
    </comment>
    <comment ref="D10" authorId="1">
      <text>
        <r>
          <rPr>
            <b/>
            <sz val="9"/>
            <color indexed="81"/>
            <rFont val="Tahoma"/>
            <family val="2"/>
          </rPr>
          <t>Information disponible sur (1):
http://www.gembloux.ulg.ac.be/eg/capru/communes-wallonnes-en-chiffres?view=all&amp;i_ancre=44&amp;depth=1&amp;id_theme=118&amp;categorie_1=Logement+et+b%E2timent</t>
        </r>
      </text>
    </comment>
    <comment ref="D11" authorId="1">
      <text>
        <r>
          <rPr>
            <b/>
            <sz val="9"/>
            <color indexed="81"/>
            <rFont val="Tahoma"/>
            <family val="2"/>
          </rPr>
          <t>Estimée grâce au Projet Informatique de Cartographie Continue</t>
        </r>
      </text>
    </comment>
    <comment ref="D12" authorId="1">
      <text>
        <r>
          <rPr>
            <b/>
            <sz val="9"/>
            <color indexed="81"/>
            <rFont val="Tahoma"/>
            <family val="2"/>
          </rPr>
          <t>Estimée grâce au Projet Informatique de Cartographie Continue</t>
        </r>
        <r>
          <rPr>
            <sz val="9"/>
            <color indexed="81"/>
            <rFont val="Tahoma"/>
            <family val="2"/>
          </rPr>
          <t xml:space="preserve">
</t>
        </r>
      </text>
    </comment>
    <comment ref="D13" authorId="1">
      <text>
        <r>
          <rPr>
            <b/>
            <sz val="9"/>
            <color indexed="81"/>
            <rFont val="Tahoma"/>
            <family val="2"/>
          </rPr>
          <t xml:space="preserve">Information disponible au cadastre/au plan de secteur/sur CAP ruralité
Lien CAP ruralité (2):
http://www.gembloux.ulg.ac.be/eg/capru/communes-wallonnes-en-chiffres?view=all&amp;i_ancre=30&amp;depth=1&amp;id_theme=131&amp;categorie_1=Occupation+du+sol
</t>
        </r>
      </text>
    </comment>
    <comment ref="D14" authorId="1">
      <text>
        <r>
          <rPr>
            <b/>
            <sz val="9"/>
            <color indexed="81"/>
            <rFont val="Tahoma"/>
            <family val="2"/>
          </rPr>
          <t>Information disponible dans les statistiques fédérales relatives aux exploitations agricoles et horticoles (3): http://statbel.fgov.be/fr/modules/publications/statistiques/economie/downloads/agriculture_-_chiffres_agricoles_de_2013.jsp#.VynHNdJfzcs</t>
        </r>
        <r>
          <rPr>
            <sz val="9"/>
            <color indexed="81"/>
            <rFont val="Tahoma"/>
            <family val="2"/>
          </rPr>
          <t xml:space="preserve">
</t>
        </r>
      </text>
    </comment>
    <comment ref="D19" authorId="1">
      <text>
        <r>
          <rPr>
            <b/>
            <sz val="9"/>
            <color indexed="81"/>
            <rFont val="Tahoma"/>
            <family val="2"/>
          </rPr>
          <t>Les panneaux solaires thermiques seront par exemple placés sur des bâtiments collectifs présentant une forte consommation d'eau chaude sanitaire. Quick Scan disponible sur (9): http://www.energieplus-lesite.be/index.php?id=16745</t>
        </r>
      </text>
    </comment>
    <comment ref="H19" authorId="1">
      <text>
        <r>
          <rPr>
            <b/>
            <sz val="9"/>
            <color indexed="81"/>
            <rFont val="Tahoma"/>
            <family val="2"/>
          </rPr>
          <t xml:space="preserve">Information disponible dans les onglets EnR 2016 et bilan communal 2014 de l'outil POLLEC ou via la </t>
        </r>
        <r>
          <rPr>
            <sz val="9"/>
            <color indexed="81"/>
            <rFont val="Tahoma"/>
            <family val="2"/>
          </rPr>
          <t xml:space="preserve">
</t>
        </r>
        <r>
          <rPr>
            <b/>
            <sz val="9"/>
            <color indexed="81"/>
            <rFont val="Tahoma"/>
            <family val="2"/>
          </rPr>
          <t>CWaPE.</t>
        </r>
      </text>
    </comment>
    <comment ref="A29" authorId="1">
      <text>
        <r>
          <rPr>
            <b/>
            <sz val="9"/>
            <color indexed="81"/>
            <rFont val="Tahoma"/>
            <family val="2"/>
          </rPr>
          <t xml:space="preserve">Information dispnible en hectare dans la fiche synoptique communale (travail réalisé au printemps 2013). Pour rappel: 1 ha=0,01 km² </t>
        </r>
        <r>
          <rPr>
            <sz val="9"/>
            <color indexed="81"/>
            <rFont val="Tahoma"/>
            <family val="2"/>
          </rPr>
          <t xml:space="preserve">
</t>
        </r>
      </text>
    </comment>
    <comment ref="C29" authorId="1">
      <text>
        <r>
          <rPr>
            <b/>
            <sz val="9"/>
            <color indexed="81"/>
            <rFont val="Tahoma"/>
            <family val="2"/>
          </rPr>
          <t>Projets en recours en 2013, ayant obtenu un permis ministériel, puis ensuite abandonnés.</t>
        </r>
        <r>
          <rPr>
            <sz val="9"/>
            <color indexed="81"/>
            <rFont val="Tahoma"/>
            <family val="2"/>
          </rPr>
          <t xml:space="preserve">
</t>
        </r>
      </text>
    </comment>
    <comment ref="D29" authorId="1">
      <text>
        <r>
          <rPr>
            <b/>
            <sz val="9"/>
            <color indexed="81"/>
            <rFont val="Tahoma"/>
            <family val="2"/>
          </rPr>
          <t>Liste des projets disponible sur (4): 
http://www.eolien.be/node/12</t>
        </r>
        <r>
          <rPr>
            <sz val="9"/>
            <color indexed="81"/>
            <rFont val="Tahoma"/>
            <family val="2"/>
          </rPr>
          <t xml:space="preserve">
</t>
        </r>
      </text>
    </comment>
    <comment ref="A34" authorId="1">
      <text>
        <r>
          <rPr>
            <b/>
            <sz val="9"/>
            <color indexed="81"/>
            <rFont val="Tahoma"/>
            <family val="2"/>
          </rPr>
          <t xml:space="preserve">Identification des anciens sites hydroénergétiques via le portail RESTOR Hydro (5): http://www.restor-hydro.eu/en/tools/mills-map/  </t>
        </r>
        <r>
          <rPr>
            <sz val="9"/>
            <color indexed="81"/>
            <rFont val="Tahoma"/>
            <family val="2"/>
          </rPr>
          <t xml:space="preserve">
</t>
        </r>
      </text>
    </comment>
    <comment ref="B34" authorId="1">
      <text>
        <r>
          <rPr>
            <b/>
            <sz val="9"/>
            <color indexed="81"/>
            <rFont val="Tahoma"/>
            <family val="2"/>
          </rPr>
          <t>Débit disponible auprès du SPW-DGO3-Direction des Cours d’Eau non navigables, Dr ir Sébastien Gailliez, tél.: +32 (0)81/33.63.83.
Les données lat-long décimales du portail RESTOR doivent, préalablement à ce contact téléphonique, être converties en coordonnées X-Y Lambert 1972 via le site (6): http://zoologie.umh.ac.be/tc/default.aspx</t>
        </r>
      </text>
    </comment>
    <comment ref="C34" authorId="1">
      <text>
        <r>
          <rPr>
            <b/>
            <sz val="9"/>
            <color indexed="81"/>
            <rFont val="Tahoma"/>
            <family val="2"/>
          </rPr>
          <t>Hauteur de chute: estimée grâce à une visite de terrain/au portail RESTOR/1,2 m</t>
        </r>
        <r>
          <rPr>
            <sz val="9"/>
            <color indexed="81"/>
            <rFont val="Tahoma"/>
            <family val="2"/>
          </rPr>
          <t xml:space="preserve">
</t>
        </r>
      </text>
    </comment>
    <comment ref="C64" authorId="1">
      <text>
        <r>
          <rPr>
            <b/>
            <sz val="9"/>
            <color indexed="81"/>
            <rFont val="Tahoma"/>
            <family val="2"/>
          </rPr>
          <t>Informations disponibles sur (7): http://statbel.fgov.be/fr/binaries/DBREF-L05-2012-TAB-B-2-FR_tcm326-227401.xls</t>
        </r>
        <r>
          <rPr>
            <sz val="9"/>
            <color indexed="81"/>
            <rFont val="Tahoma"/>
            <family val="2"/>
          </rPr>
          <t xml:space="preserve">
</t>
        </r>
      </text>
    </comment>
    <comment ref="B77" authorId="1">
      <text>
        <r>
          <rPr>
            <b/>
            <sz val="9"/>
            <color indexed="81"/>
            <rFont val="Tahoma"/>
            <family val="2"/>
          </rPr>
          <t>Informations disponibles sur (8): http://statbel.fgov.be/fr/modules/publications/statistiques/economie/downloads/agriculture_-_chiffres_agricoles_de_2013.jsp#.VynHNdJfzcs</t>
        </r>
        <r>
          <rPr>
            <sz val="9"/>
            <color indexed="81"/>
            <rFont val="Tahoma"/>
            <family val="2"/>
          </rPr>
          <t xml:space="preserve">
</t>
        </r>
        <r>
          <rPr>
            <b/>
            <sz val="9"/>
            <color indexed="81"/>
            <rFont val="Tahoma"/>
            <family val="2"/>
          </rPr>
          <t>Pour rappel 1 are= 0,01 hectare</t>
        </r>
      </text>
    </comment>
    <comment ref="B82" authorId="1">
      <text>
        <r>
          <rPr>
            <b/>
            <sz val="9"/>
            <color indexed="81"/>
            <rFont val="Tahoma"/>
            <family val="2"/>
          </rPr>
          <t>Superficie dédiée à la culture de céréales (ha)</t>
        </r>
      </text>
    </comment>
    <comment ref="B83" authorId="1">
      <text>
        <r>
          <rPr>
            <b/>
            <sz val="9"/>
            <color indexed="81"/>
            <rFont val="Tahoma"/>
            <family val="2"/>
          </rPr>
          <t>Superficie dédiée à la culture de pommes de terre</t>
        </r>
        <r>
          <rPr>
            <sz val="9"/>
            <color indexed="81"/>
            <rFont val="Tahoma"/>
            <family val="2"/>
          </rPr>
          <t xml:space="preserve">
</t>
        </r>
      </text>
    </comment>
    <comment ref="B100" authorId="1">
      <text>
        <r>
          <rPr>
            <b/>
            <sz val="9"/>
            <color indexed="81"/>
            <rFont val="Tahoma"/>
            <family val="2"/>
          </rPr>
          <t>Indiquez 3 valeurs dans les cases B98 à D98. Le total de ces 3 valeurs doit être égal à 1 si vous optez pour plusieurs variétés.</t>
        </r>
      </text>
    </comment>
    <comment ref="C100" authorId="1">
      <text>
        <r>
          <rPr>
            <b/>
            <sz val="9"/>
            <color indexed="81"/>
            <rFont val="Tahoma"/>
            <family val="2"/>
          </rPr>
          <t>Indiquez 3 valeurs dans les cases B98 à D98. Le total de ces 3 valeurs doit être égal à 1 si vous optez pour plusieurs variétés.</t>
        </r>
        <r>
          <rPr>
            <sz val="9"/>
            <color indexed="81"/>
            <rFont val="Tahoma"/>
            <family val="2"/>
          </rPr>
          <t xml:space="preserve">
</t>
        </r>
      </text>
    </comment>
    <comment ref="D100" authorId="1">
      <text>
        <r>
          <rPr>
            <b/>
            <sz val="9"/>
            <color indexed="81"/>
            <rFont val="Tahoma"/>
            <family val="2"/>
          </rPr>
          <t>Indiquez 3 valeurs dans les cases B98 à D98. Le total de ces 3 valeurs doit être égal à 1 si vous optez pour plusieurs variétés.</t>
        </r>
      </text>
    </comment>
  </commentList>
</comments>
</file>

<file path=xl/comments2.xml><?xml version="1.0" encoding="utf-8"?>
<comments xmlns="http://schemas.openxmlformats.org/spreadsheetml/2006/main">
  <authors>
    <author>Benoit VINCENT</author>
  </authors>
  <commentList>
    <comment ref="A3" authorId="0">
      <text>
        <r>
          <rPr>
            <b/>
            <sz val="9"/>
            <color indexed="81"/>
            <rFont val="Tahoma"/>
            <family val="2"/>
          </rPr>
          <t>Numéros renseignés dans les commentaires figurant dans l'onglet "évaluation"</t>
        </r>
        <r>
          <rPr>
            <sz val="9"/>
            <color indexed="81"/>
            <rFont val="Tahoma"/>
            <family val="2"/>
          </rPr>
          <t xml:space="preserve">
</t>
        </r>
      </text>
    </comment>
  </commentList>
</comments>
</file>

<file path=xl/sharedStrings.xml><?xml version="1.0" encoding="utf-8"?>
<sst xmlns="http://schemas.openxmlformats.org/spreadsheetml/2006/main" count="433" uniqueCount="330">
  <si>
    <t>Caractérisitques de la Commune</t>
  </si>
  <si>
    <t>Photovoltaïque</t>
  </si>
  <si>
    <t xml:space="preserve">Solaire thermique </t>
  </si>
  <si>
    <t>Eolien</t>
  </si>
  <si>
    <t>Surface habitations (m²)</t>
  </si>
  <si>
    <t>Surface autres bâtiments (m²)</t>
  </si>
  <si>
    <t>Surface avec ou sans contraintes (km²)</t>
  </si>
  <si>
    <t xml:space="preserve"> </t>
  </si>
  <si>
    <t>Hydroélectricité</t>
  </si>
  <si>
    <t>P95 (m³/s)</t>
  </si>
  <si>
    <t>Site 1</t>
  </si>
  <si>
    <t>Site 2</t>
  </si>
  <si>
    <t xml:space="preserve">Site 3 </t>
  </si>
  <si>
    <t>R</t>
  </si>
  <si>
    <t>Puissance (kW)</t>
  </si>
  <si>
    <t>Nombre de bâtiments à considérer</t>
  </si>
  <si>
    <t>Biomasse - résidus forestiers</t>
  </si>
  <si>
    <t>Surface forestière (ha)</t>
  </si>
  <si>
    <t>Q résidus secs (t)</t>
  </si>
  <si>
    <t>Rendement 85 %</t>
  </si>
  <si>
    <t>OU</t>
  </si>
  <si>
    <t>Combustion</t>
  </si>
  <si>
    <t>Cogénération solide</t>
  </si>
  <si>
    <t>Biomasse agricole - effluents d'élevage</t>
  </si>
  <si>
    <t>Nombre total de bovins</t>
  </si>
  <si>
    <t>Nombre total de porcins</t>
  </si>
  <si>
    <t>Nombre total d'ovins</t>
  </si>
  <si>
    <t>Nombre total de caprins</t>
  </si>
  <si>
    <t>Nombre total de volailles, dont</t>
  </si>
  <si>
    <t>Bovins de moins de 1 ans</t>
  </si>
  <si>
    <t>Bovins de 1 an à moins de 2 ans</t>
  </si>
  <si>
    <t>Bovins de 2 ans et plus</t>
  </si>
  <si>
    <t>Porcelets d'un poids vif de moins de 20 kg</t>
  </si>
  <si>
    <t>Porcs d'un poids vif de 20 kg à moins de 50 kg</t>
  </si>
  <si>
    <t>Porcs à l'engrais de 50 kg et plus</t>
  </si>
  <si>
    <t>Porcs reproducteurs de 50 kg et plus</t>
  </si>
  <si>
    <t>Poules et poulettes</t>
  </si>
  <si>
    <t>Poulets de chair</t>
  </si>
  <si>
    <t>Destinés à être abattus comme veaux</t>
  </si>
  <si>
    <t>Autres veaux</t>
  </si>
  <si>
    <t>Mâles</t>
  </si>
  <si>
    <t>Femelles</t>
  </si>
  <si>
    <t>Verrats</t>
  </si>
  <si>
    <t xml:space="preserve">Truies </t>
  </si>
  <si>
    <t>Génisses</t>
  </si>
  <si>
    <t>Vaches</t>
  </si>
  <si>
    <t>Laitières</t>
  </si>
  <si>
    <t>Allaitantes</t>
  </si>
  <si>
    <t>Fumiers (m³/an)</t>
  </si>
  <si>
    <t>Lisiers (m³/an)</t>
  </si>
  <si>
    <t>Quantité de méthane fumiers (m³)</t>
  </si>
  <si>
    <t>Quantité de méthane lisier (m³)</t>
  </si>
  <si>
    <t>(m³/an)</t>
  </si>
  <si>
    <t>Quantité de lisier (t)</t>
  </si>
  <si>
    <t>Quantité de fumiers (t)</t>
  </si>
  <si>
    <t xml:space="preserve">Biométhanisation </t>
  </si>
  <si>
    <t>Production annuelle (kWh)</t>
  </si>
  <si>
    <t>Outil stratégie - Puissance électrique (kW)</t>
  </si>
  <si>
    <t>Surface totale (m²)</t>
  </si>
  <si>
    <t>Surface bâtiments collectifs (m²)</t>
  </si>
  <si>
    <t>Outil stratégie - Puissance thermique (kW)</t>
  </si>
  <si>
    <t xml:space="preserve">Production thermique (kWh/an) </t>
  </si>
  <si>
    <t>Production électrique (GWh/an)</t>
  </si>
  <si>
    <t>Projets abandonnés (GWh/an)</t>
  </si>
  <si>
    <t>Outil stratégie -Puissance électrique (kW)</t>
  </si>
  <si>
    <t>Site 4</t>
  </si>
  <si>
    <t>Site 5</t>
  </si>
  <si>
    <t>Production électrique (kWh/an)</t>
  </si>
  <si>
    <t>Outil stratégie -Puissance thermique (kW)</t>
  </si>
  <si>
    <t>Potentiel (kWh/an)</t>
  </si>
  <si>
    <t>Potentiel (MWh/an)</t>
  </si>
  <si>
    <t>Production électrique (MWh/an)</t>
  </si>
  <si>
    <t>Production thermique (MWh/an)</t>
  </si>
  <si>
    <t>Outil stratégie - Puisssance thermique (kW)</t>
  </si>
  <si>
    <t>Production thermique (kWh/an)</t>
  </si>
  <si>
    <t>Biomasse agricole - coproduits de cultures</t>
  </si>
  <si>
    <t>Feuilles de betteraves</t>
  </si>
  <si>
    <t>Surface (ha)</t>
  </si>
  <si>
    <t>Production (t)</t>
  </si>
  <si>
    <t>Méthane (m³)</t>
  </si>
  <si>
    <t>Pulpe de betteraves</t>
  </si>
  <si>
    <t>Menues pailles de céréales</t>
  </si>
  <si>
    <t>Surplus de pailles de céréales</t>
  </si>
  <si>
    <t>Issues de silo</t>
  </si>
  <si>
    <t>Rafle de maïs grain</t>
  </si>
  <si>
    <t>Paille de maïs grain</t>
  </si>
  <si>
    <t>Somme:</t>
  </si>
  <si>
    <t>Superficie agricole utilisée (ares)</t>
  </si>
  <si>
    <t>Surface dédiée aux cultures pérennes (ha)</t>
  </si>
  <si>
    <t>Miscanthus</t>
  </si>
  <si>
    <t>Taillis à courte rotation</t>
  </si>
  <si>
    <t>Quantité (t)</t>
  </si>
  <si>
    <t>Maïs en culture dédiée</t>
  </si>
  <si>
    <t>Quantité de maïs (t)</t>
  </si>
  <si>
    <t>Quantité de méthane (m³)</t>
  </si>
  <si>
    <t xml:space="preserve">Biomasse industrielle </t>
  </si>
  <si>
    <t>Industrie agro-alimentaire</t>
  </si>
  <si>
    <t>Stations d'épuration</t>
  </si>
  <si>
    <t>Quantité de boue par an (kg)</t>
  </si>
  <si>
    <t>Si station présente sur le territoire</t>
  </si>
  <si>
    <t xml:space="preserve">Estimation de potentiel des différentes filières renouvelables </t>
  </si>
  <si>
    <t>Nombre d'habitants que la station couvre</t>
  </si>
  <si>
    <t>Technologie</t>
  </si>
  <si>
    <t>Temps de fonctionnement à puissance nominale (heures/an)</t>
  </si>
  <si>
    <t>Puissance électrique (kW)</t>
  </si>
  <si>
    <t>Puissance thermique (kW)</t>
  </si>
  <si>
    <t>Bois</t>
  </si>
  <si>
    <t>PAC Géothermie</t>
  </si>
  <si>
    <t>Solaire thermique</t>
  </si>
  <si>
    <t xml:space="preserve">Solaire photovoltaïque </t>
  </si>
  <si>
    <t>Somme</t>
  </si>
  <si>
    <t>Production annuelle d'une usine de biométhanisation déjà présente sur le territoire de la commune (kWh)</t>
  </si>
  <si>
    <t>Total général biométhanisation</t>
  </si>
  <si>
    <t>Biomasse agricole - cultures dédiées</t>
  </si>
  <si>
    <t xml:space="preserve">H (m) </t>
  </si>
  <si>
    <t>Placez 0 dans la case D48 ou les cases E54  et F54</t>
  </si>
  <si>
    <t>Commune</t>
  </si>
  <si>
    <t>Amay</t>
  </si>
  <si>
    <t xml:space="preserve">Amel </t>
  </si>
  <si>
    <t>Ans</t>
  </si>
  <si>
    <t>Anthisnes</t>
  </si>
  <si>
    <t>Aubel</t>
  </si>
  <si>
    <t>Awans</t>
  </si>
  <si>
    <t>Aywaille</t>
  </si>
  <si>
    <t>Baelen</t>
  </si>
  <si>
    <t>Bassenge</t>
  </si>
  <si>
    <t>Berloz</t>
  </si>
  <si>
    <t>Beyne-Heusay</t>
  </si>
  <si>
    <t>Blegny</t>
  </si>
  <si>
    <t>Braives</t>
  </si>
  <si>
    <t xml:space="preserve">Büllingen </t>
  </si>
  <si>
    <t>Burdinne</t>
  </si>
  <si>
    <t xml:space="preserve">Burg-Reuland </t>
  </si>
  <si>
    <t xml:space="preserve">Bütgenbach </t>
  </si>
  <si>
    <t>Chaudfontaine</t>
  </si>
  <si>
    <t>Clavier</t>
  </si>
  <si>
    <t>Comblain-au-Pont</t>
  </si>
  <si>
    <t>Crisnée</t>
  </si>
  <si>
    <t>Dalhem</t>
  </si>
  <si>
    <t>Dison</t>
  </si>
  <si>
    <t>Donceel</t>
  </si>
  <si>
    <t>Engis</t>
  </si>
  <si>
    <t>Esneux</t>
  </si>
  <si>
    <t xml:space="preserve">Eupen </t>
  </si>
  <si>
    <t>Faimes</t>
  </si>
  <si>
    <t>Ferrières</t>
  </si>
  <si>
    <t>Fexhe-le-Haut-Clocher</t>
  </si>
  <si>
    <t>Flémalle</t>
  </si>
  <si>
    <t>Fléron</t>
  </si>
  <si>
    <t>Geer</t>
  </si>
  <si>
    <t>Grâce-Hollogne</t>
  </si>
  <si>
    <t>Hamoir</t>
  </si>
  <si>
    <t xml:space="preserve">Hannut </t>
  </si>
  <si>
    <t>Héron</t>
  </si>
  <si>
    <t xml:space="preserve">Herstal </t>
  </si>
  <si>
    <t xml:space="preserve">Herve </t>
  </si>
  <si>
    <t xml:space="preserve">Huy </t>
  </si>
  <si>
    <t>Jalhay</t>
  </si>
  <si>
    <t>Juprelle</t>
  </si>
  <si>
    <t>Kelmis</t>
  </si>
  <si>
    <t xml:space="preserve">Liège </t>
  </si>
  <si>
    <t>Lierneux</t>
  </si>
  <si>
    <t xml:space="preserve">Limbourg </t>
  </si>
  <si>
    <t>Lincent</t>
  </si>
  <si>
    <t xml:space="preserve">Lontzen </t>
  </si>
  <si>
    <t xml:space="preserve">Malmedy </t>
  </si>
  <si>
    <t>Marchin</t>
  </si>
  <si>
    <t>Modave</t>
  </si>
  <si>
    <t>Nandrin</t>
  </si>
  <si>
    <t>Neupré</t>
  </si>
  <si>
    <t>Olne</t>
  </si>
  <si>
    <t>Oreye</t>
  </si>
  <si>
    <t>Ouffet</t>
  </si>
  <si>
    <t>Oupeye</t>
  </si>
  <si>
    <t>Pepinster</t>
  </si>
  <si>
    <t>Plombières</t>
  </si>
  <si>
    <t xml:space="preserve">Raeren </t>
  </si>
  <si>
    <t>Remicourt</t>
  </si>
  <si>
    <t>Saint-Georges-sur-Meuse</t>
  </si>
  <si>
    <t>Saint-Nicolas</t>
  </si>
  <si>
    <t xml:space="preserve">Sankt Vith </t>
  </si>
  <si>
    <t xml:space="preserve">Seraing </t>
  </si>
  <si>
    <t>Soumagne</t>
  </si>
  <si>
    <t xml:space="preserve">Spa </t>
  </si>
  <si>
    <t>Sprimont</t>
  </si>
  <si>
    <t xml:space="preserve">Stavelot </t>
  </si>
  <si>
    <t>Stoumont</t>
  </si>
  <si>
    <t>Theux</t>
  </si>
  <si>
    <t>Thimister-Clermont</t>
  </si>
  <si>
    <t>Tinlot</t>
  </si>
  <si>
    <t>Trois-Ponts</t>
  </si>
  <si>
    <t>Trooz</t>
  </si>
  <si>
    <t>Verlaine</t>
  </si>
  <si>
    <t xml:space="preserve">Verviers </t>
  </si>
  <si>
    <t>Villers-le-Bouillet</t>
  </si>
  <si>
    <t>Visé</t>
  </si>
  <si>
    <t xml:space="preserve">Waimes </t>
  </si>
  <si>
    <t>Wanze</t>
  </si>
  <si>
    <t xml:space="preserve">Waremme </t>
  </si>
  <si>
    <t>Wasseiges</t>
  </si>
  <si>
    <t>Welkenraedt</t>
  </si>
  <si>
    <t>Projets en cours et en fonction (GWh/an)</t>
  </si>
  <si>
    <t>Nombre d'éoliennes</t>
  </si>
  <si>
    <t>Surface au sol habitations fournie par le Stp (m²)</t>
  </si>
  <si>
    <t>Surface au sol autres bâtiments fournie par le Stp (m²)</t>
  </si>
  <si>
    <t>Pompes à chaleur</t>
  </si>
  <si>
    <t>Densification du bâti. Si village, encodez 0,25 si entitée plus urbanisée notez 0,10</t>
  </si>
  <si>
    <t>Ecarts de tri de pommes de terre</t>
  </si>
  <si>
    <t xml:space="preserve">Liens utiles </t>
  </si>
  <si>
    <t>http://www.gembloux.ulg.ac.be/eg/capru/communes-wallonnes-en-chiffres?view=all&amp;i_ancre=44&amp;depth=1&amp;id_theme=118&amp;categorie_1=Logement+et+b%E2timent</t>
  </si>
  <si>
    <t>Surface forestière</t>
  </si>
  <si>
    <t>http://www.gembloux.ulg.ac.be/eg/capru/communes-wallonnes-en-chiffres?view=all&amp;i_ancre=30&amp;depth=1&amp;id_theme=131&amp;categorie_1=Occupation+du+sol</t>
  </si>
  <si>
    <t xml:space="preserve">Superficie agricole utilisée </t>
  </si>
  <si>
    <t>http://statbel.fgov.be/fr/modules/publications/statistiques/economie/downloads/agriculture_-_chiffres_agricoles_de_2013.jsp#.VynHNdJfzcs</t>
  </si>
  <si>
    <t>http://www.eolien.be/node/12</t>
  </si>
  <si>
    <t>Projets éoliens en cours et en fonction</t>
  </si>
  <si>
    <t xml:space="preserve">http://www.restor-hydro.eu/en/tools/mills-map/  </t>
  </si>
  <si>
    <t xml:space="preserve">Portail RESTOR Hydro </t>
  </si>
  <si>
    <t>http://zoologie.umh.ac.be/tc/default.aspx</t>
  </si>
  <si>
    <t xml:space="preserve">Conversion des données lat-long décimales en coordonnées X-Y Lambert 1972 </t>
  </si>
  <si>
    <t>http://statbel.fgov.be/fr/binaries/DBREF-L05-2012-TAB-B-2-FR_tcm326-227401.xls</t>
  </si>
  <si>
    <t>Cheptel</t>
  </si>
  <si>
    <t>Surface pour les coproduits de culture</t>
  </si>
  <si>
    <t>Part relative au miscanthus</t>
  </si>
  <si>
    <t>Part relative au taillis à courte rotation</t>
  </si>
  <si>
    <t>Part relative au maïs en culture dédiée</t>
  </si>
  <si>
    <r>
      <rPr>
        <b/>
        <u/>
        <sz val="10"/>
        <color rgb="FF92D050"/>
        <rFont val="Verdana"/>
        <family val="2"/>
      </rPr>
      <t>Si vous optez pour une seule variété</t>
    </r>
    <r>
      <rPr>
        <b/>
        <sz val="10"/>
        <color rgb="FF92D050"/>
        <rFont val="Verdana"/>
        <family val="2"/>
      </rPr>
      <t>, ne conservez qu'une puissance thermique (si choix de la combustion) ou une puissance thermique et une puissance électrique (si choix de la cogénaration ou de la biométhanisation) non nulle(s) parmis les cases C107, H107, I107, C117, H117, I117, D128, E128.</t>
    </r>
  </si>
  <si>
    <t>Si choix de plusieurs variétés</t>
  </si>
  <si>
    <r>
      <rPr>
        <b/>
        <u/>
        <sz val="10"/>
        <color rgb="FF92D050"/>
        <rFont val="Verdana"/>
        <family val="2"/>
      </rPr>
      <t>Si vous optez pour plusieurs variétés</t>
    </r>
    <r>
      <rPr>
        <b/>
        <sz val="10"/>
        <color rgb="FF92D050"/>
        <rFont val="Verdana"/>
        <family val="2"/>
      </rPr>
      <t xml:space="preserve">, indiquez ci-dessous (cases B99,C99,D99) le pourcentage relatif à chacune de celles-ci. Choisisez également le mode de valorisation en indiquant 0 dans la/les case(s) relative(s) au mode non choisi (cases C107, H107, I107, C117, H117, I117, D128, E128). </t>
    </r>
  </si>
  <si>
    <t>Surface de toitures dédiées pour le solaire thermique non existant (m²)</t>
  </si>
  <si>
    <t>Surface de toitures dédiées pour le solaire thermique  existant (m²)</t>
  </si>
  <si>
    <t>Installations photovoltaïques existantes (kWh/an)</t>
  </si>
  <si>
    <t>http://www.energieplus-lesite.be/index.php?id=16745</t>
  </si>
  <si>
    <t>Quick Scan pour le solaire thermique</t>
  </si>
  <si>
    <t>Nombre de bâtiments</t>
  </si>
  <si>
    <t>Tableau de l'outil POLLEC Potentiel EnR</t>
  </si>
  <si>
    <t>MODAVE</t>
  </si>
  <si>
    <t>NANDRIN</t>
  </si>
  <si>
    <t>NEUPRÉ</t>
  </si>
  <si>
    <t>OLNE</t>
  </si>
  <si>
    <t>OREYE</t>
  </si>
  <si>
    <t>OUFFET</t>
  </si>
  <si>
    <t>OUPEYE</t>
  </si>
  <si>
    <t>PEPINSTER</t>
  </si>
  <si>
    <t>PLOMBIÈRES</t>
  </si>
  <si>
    <t>RAEREN</t>
  </si>
  <si>
    <t>REMICOURT</t>
  </si>
  <si>
    <t>SAINT-GEORGES-SUR-MEUSE</t>
  </si>
  <si>
    <t>SAINT-NICOLAS</t>
  </si>
  <si>
    <t>SAINT-VITH</t>
  </si>
  <si>
    <t>SERAING</t>
  </si>
  <si>
    <t>SOUMAGNE</t>
  </si>
  <si>
    <t>SPA</t>
  </si>
  <si>
    <t>SPRIMONT</t>
  </si>
  <si>
    <t>STAVELOT</t>
  </si>
  <si>
    <t>STOUMONT</t>
  </si>
  <si>
    <t>THEUX</t>
  </si>
  <si>
    <t>THIMISTER-CLERMONT</t>
  </si>
  <si>
    <t>TINLOT</t>
  </si>
  <si>
    <t>TROIS-PONTS</t>
  </si>
  <si>
    <t>TROOZ</t>
  </si>
  <si>
    <t>VERLAINE</t>
  </si>
  <si>
    <t>VERVIERS</t>
  </si>
  <si>
    <t>VILLERS-LE-BOUILLET</t>
  </si>
  <si>
    <t>VISÉ</t>
  </si>
  <si>
    <t>WAIMES</t>
  </si>
  <si>
    <t>WANZE</t>
  </si>
  <si>
    <t>WAREMME</t>
  </si>
  <si>
    <t>WASSEIGES</t>
  </si>
  <si>
    <t>WELKENRAEDT</t>
  </si>
  <si>
    <t xml:space="preserve">Année </t>
  </si>
  <si>
    <t>AMAY</t>
  </si>
  <si>
    <t>AMBLÈVE</t>
  </si>
  <si>
    <t>ANS</t>
  </si>
  <si>
    <t>ANTHISNES</t>
  </si>
  <si>
    <t>AUBEL</t>
  </si>
  <si>
    <t>AWANS</t>
  </si>
  <si>
    <t>AYWAILLE</t>
  </si>
  <si>
    <t>BAELEN</t>
  </si>
  <si>
    <t>BASSENGE</t>
  </si>
  <si>
    <t>BERLOZ</t>
  </si>
  <si>
    <t>BEYNE-HEUSAY</t>
  </si>
  <si>
    <t>BLÉGNY</t>
  </si>
  <si>
    <t>BRAIVES</t>
  </si>
  <si>
    <t>BULLANGE</t>
  </si>
  <si>
    <t>BURDINNE</t>
  </si>
  <si>
    <t>BURG-REULAND</t>
  </si>
  <si>
    <t>BUTGENBACH</t>
  </si>
  <si>
    <t>CHAUDFONTAINE</t>
  </si>
  <si>
    <t>CLAVIER</t>
  </si>
  <si>
    <t>COMBLAIN-AU-PONT</t>
  </si>
  <si>
    <t>CRISNÉE</t>
  </si>
  <si>
    <t>DALHEM</t>
  </si>
  <si>
    <t>DISON</t>
  </si>
  <si>
    <t>DONCEEL</t>
  </si>
  <si>
    <t>ENGIS</t>
  </si>
  <si>
    <t>ESNEUX</t>
  </si>
  <si>
    <t>EUPEN</t>
  </si>
  <si>
    <t>FAIMES</t>
  </si>
  <si>
    <t>FERRIÈRES</t>
  </si>
  <si>
    <t>FEXHE-LE-HAUT-CLOCHER</t>
  </si>
  <si>
    <t>FLÉMALLE</t>
  </si>
  <si>
    <t>FLÉRON</t>
  </si>
  <si>
    <t>GEER</t>
  </si>
  <si>
    <t>GRÂCE-HOLLOGNE</t>
  </si>
  <si>
    <t>HAMOIR</t>
  </si>
  <si>
    <t>HANNUT</t>
  </si>
  <si>
    <t>HÉRON</t>
  </si>
  <si>
    <t>HERSTAL</t>
  </si>
  <si>
    <t>HERVE</t>
  </si>
  <si>
    <t>HUY</t>
  </si>
  <si>
    <t>JALHAY</t>
  </si>
  <si>
    <t>JUPRELLE</t>
  </si>
  <si>
    <t>LA CALAMINE</t>
  </si>
  <si>
    <t>LIÈGE</t>
  </si>
  <si>
    <t>LIERNEUX</t>
  </si>
  <si>
    <t>LIMBOURG</t>
  </si>
  <si>
    <t>LINCENT</t>
  </si>
  <si>
    <t>LONTZEN</t>
  </si>
  <si>
    <t>MALMEDY</t>
  </si>
  <si>
    <t>MARCHIN</t>
  </si>
  <si>
    <t xml:space="preserve">Superficie totale en ha </t>
  </si>
  <si>
    <t>Superficie de la commune (ha)</t>
  </si>
  <si>
    <t>Outil - Puissance électrique (kW)</t>
  </si>
  <si>
    <t>Potentiel brut en toiture (kWh/an)</t>
  </si>
  <si>
    <t>Potentiel net sur toiture - production électrique (kWh/an)</t>
  </si>
  <si>
    <t>Potentiel brut au sol-production électrique (kWh/an)</t>
  </si>
  <si>
    <t>Potentiel brut en toiture et au sol (kW)</t>
  </si>
  <si>
    <t>Outil POLLEC - Puissance thermique (kW)</t>
  </si>
  <si>
    <t>Outil POLLEC Potentiel totale toiture et sol (kW)</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</si>
</sst>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 #,##0.00_ ;_ * \-#,##0.00_ ;_ * &quot;-&quot;??_ ;_ @_ "/>
    <numFmt numFmtId="165" formatCode="0.0"/>
  </numFmts>
  <fonts count="16" x14ac:knownFonts="1">
    <font>
      <sz val="10"/>
      <color theme="1"/>
      <name val="Verdana"/>
      <family val="2"/>
    </font>
    <font>
      <u/>
      <sz val="10"/>
      <color theme="1"/>
      <name val="Verdana"/>
      <family val="2"/>
    </font>
    <font>
      <b/>
      <u/>
      <sz val="10"/>
      <color theme="1"/>
      <name val="Verdana"/>
      <family val="2"/>
    </font>
    <font>
      <b/>
      <sz val="10"/>
      <color theme="1"/>
      <name val="Verdana"/>
      <family val="2"/>
    </font>
    <font>
      <sz val="8"/>
      <name val="Arial"/>
      <family val="2"/>
    </font>
    <font>
      <sz val="10"/>
      <name val="Verdana"/>
      <family val="2"/>
    </font>
    <font>
      <sz val="9"/>
      <color indexed="81"/>
      <name val="Tahoma"/>
      <family val="2"/>
    </font>
    <font>
      <sz val="10"/>
      <color rgb="FFFF0000"/>
      <name val="Verdana"/>
      <family val="2"/>
    </font>
    <font>
      <b/>
      <u/>
      <sz val="14"/>
      <color rgb="FF000000"/>
      <name val="Verdana"/>
      <family val="2"/>
    </font>
    <font>
      <b/>
      <sz val="20"/>
      <color theme="1" tint="0.34998626667073579"/>
      <name val="Calibri"/>
      <family val="2"/>
      <scheme val="minor"/>
    </font>
    <font>
      <b/>
      <sz val="9"/>
      <color indexed="81"/>
      <name val="Tahoma"/>
      <family val="2"/>
    </font>
    <font>
      <sz val="10"/>
      <color rgb="FF92D050"/>
      <name val="Verdana"/>
      <family val="2"/>
    </font>
    <font>
      <b/>
      <sz val="10"/>
      <color rgb="FF92D050"/>
      <name val="Verdana"/>
      <family val="2"/>
    </font>
    <font>
      <u/>
      <sz val="10"/>
      <color theme="10"/>
      <name val="Verdana"/>
      <family val="2"/>
    </font>
    <font>
      <b/>
      <u/>
      <sz val="10"/>
      <color rgb="FF92D050"/>
      <name val="Verdana"/>
      <family val="2"/>
    </font>
    <font>
      <b/>
      <sz val="10"/>
      <name val="Verdana"/>
      <family val="2"/>
    </font>
  </fonts>
  <fills count="4">
    <fill>
      <patternFill patternType="none"/>
    </fill>
    <fill>
      <patternFill patternType="gray125"/>
    </fill>
    <fill>
      <patternFill patternType="solid">
        <fgColor rgb="FF92D050"/>
        <bgColor indexed="64"/>
      </patternFill>
    </fill>
    <fill>
      <patternFill patternType="solid">
        <fgColor rgb="FF00B0F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4" fillId="0" borderId="0"/>
    <xf numFmtId="0" fontId="4" fillId="0" borderId="0"/>
    <xf numFmtId="0" fontId="13" fillId="0" borderId="0" applyNumberFormat="0" applyFill="0" applyBorder="0" applyAlignment="0" applyProtection="0"/>
  </cellStyleXfs>
  <cellXfs count="143">
    <xf numFmtId="0" fontId="0" fillId="0" borderId="0" xfId="0"/>
    <xf numFmtId="0" fontId="0" fillId="0" borderId="1" xfId="0" applyBorder="1"/>
    <xf numFmtId="0" fontId="2" fillId="0" borderId="0" xfId="0" applyFont="1"/>
    <xf numFmtId="0" fontId="0" fillId="0" borderId="1" xfId="0" applyBorder="1" applyAlignment="1">
      <alignment vertical="top" wrapText="1"/>
    </xf>
    <xf numFmtId="0" fontId="3" fillId="0" borderId="1" xfId="0" applyFont="1" applyBorder="1"/>
    <xf numFmtId="0" fontId="0" fillId="0" borderId="1" xfId="0" applyFill="1" applyBorder="1"/>
    <xf numFmtId="0" fontId="0" fillId="2" borderId="1" xfId="0" applyFill="1" applyBorder="1" applyAlignment="1" applyProtection="1">
      <alignment vertical="top" wrapText="1"/>
      <protection locked="0"/>
    </xf>
    <xf numFmtId="0" fontId="0" fillId="2" borderId="1" xfId="0" applyFill="1" applyBorder="1" applyAlignment="1" applyProtection="1">
      <alignment vertical="top"/>
      <protection locked="0"/>
    </xf>
    <xf numFmtId="0" fontId="0" fillId="2" borderId="1" xfId="0" applyFill="1" applyBorder="1" applyAlignment="1" applyProtection="1">
      <alignment horizontal="right" vertical="top"/>
      <protection locked="0"/>
    </xf>
    <xf numFmtId="0" fontId="0" fillId="2" borderId="1" xfId="0" applyFill="1" applyBorder="1" applyAlignment="1" applyProtection="1">
      <alignment horizontal="center" vertical="center"/>
      <protection locked="0"/>
    </xf>
    <xf numFmtId="0" fontId="0" fillId="2" borderId="1" xfId="0" applyFill="1" applyBorder="1" applyAlignment="1" applyProtection="1">
      <alignment horizontal="center"/>
      <protection locked="0"/>
    </xf>
    <xf numFmtId="0" fontId="5" fillId="2" borderId="1" xfId="0" applyFont="1" applyFill="1" applyBorder="1" applyAlignment="1" applyProtection="1">
      <alignment horizontal="center"/>
      <protection locked="0"/>
    </xf>
    <xf numFmtId="0" fontId="0" fillId="2" borderId="1" xfId="0" applyNumberFormat="1" applyFill="1" applyBorder="1" applyAlignment="1" applyProtection="1">
      <alignment horizontal="center" vertical="center"/>
      <protection locked="0"/>
    </xf>
    <xf numFmtId="3" fontId="3" fillId="2" borderId="1" xfId="0" applyNumberFormat="1" applyFont="1" applyFill="1" applyBorder="1" applyAlignment="1" applyProtection="1">
      <alignment horizontal="center" vertical="center"/>
      <protection locked="0"/>
    </xf>
    <xf numFmtId="3" fontId="0" fillId="2" borderId="1" xfId="0" applyNumberFormat="1" applyFill="1" applyBorder="1" applyAlignment="1" applyProtection="1">
      <alignment horizontal="center" vertical="center"/>
      <protection locked="0"/>
    </xf>
    <xf numFmtId="0" fontId="0" fillId="0" borderId="1" xfId="0" applyBorder="1" applyAlignment="1">
      <alignment horizontal="center" vertical="top"/>
    </xf>
    <xf numFmtId="0" fontId="0" fillId="0" borderId="1" xfId="0" applyBorder="1" applyAlignment="1">
      <alignment horizontal="center"/>
    </xf>
    <xf numFmtId="0" fontId="0" fillId="2" borderId="1" xfId="0" applyFill="1" applyBorder="1" applyProtection="1">
      <protection locked="0"/>
    </xf>
    <xf numFmtId="0" fontId="13" fillId="0" borderId="0" xfId="3"/>
    <xf numFmtId="0" fontId="0" fillId="0" borderId="0" xfId="0" applyAlignment="1">
      <alignment horizontal="center"/>
    </xf>
    <xf numFmtId="0" fontId="0" fillId="0" borderId="0" xfId="0" applyBorder="1" applyAlignment="1"/>
    <xf numFmtId="0" fontId="13" fillId="0" borderId="0" xfId="3" applyBorder="1" applyAlignment="1"/>
    <xf numFmtId="0" fontId="13" fillId="0" borderId="0" xfId="3" applyAlignment="1">
      <alignment vertical="top"/>
    </xf>
    <xf numFmtId="0" fontId="5" fillId="2" borderId="1" xfId="0" applyFont="1" applyFill="1" applyBorder="1" applyAlignment="1" applyProtection="1">
      <alignment horizontal="center" vertical="center" wrapText="1"/>
      <protection locked="0"/>
    </xf>
    <xf numFmtId="0" fontId="0" fillId="0" borderId="1" xfId="0" applyFill="1" applyBorder="1" applyAlignment="1">
      <alignment horizontal="center"/>
    </xf>
    <xf numFmtId="0" fontId="0" fillId="0" borderId="1" xfId="0" applyBorder="1" applyAlignment="1"/>
    <xf numFmtId="0" fontId="3" fillId="0" borderId="0" xfId="0" applyFont="1"/>
    <xf numFmtId="164" fontId="0" fillId="0" borderId="0" xfId="0" applyNumberFormat="1" applyAlignment="1" applyProtection="1">
      <alignment horizontal="center" vertical="center"/>
    </xf>
    <xf numFmtId="0" fontId="0" fillId="0" borderId="0" xfId="0" applyProtection="1"/>
    <xf numFmtId="164" fontId="0" fillId="0" borderId="0" xfId="0" applyNumberFormat="1" applyProtection="1"/>
    <xf numFmtId="0" fontId="8" fillId="0" borderId="0" xfId="0" applyFont="1" applyAlignment="1" applyProtection="1">
      <alignment horizontal="left" vertical="center" indent="2" readingOrder="1"/>
    </xf>
    <xf numFmtId="0" fontId="2" fillId="0" borderId="0" xfId="0" applyFont="1" applyProtection="1"/>
    <xf numFmtId="0" fontId="0" fillId="0" borderId="1" xfId="0" applyBorder="1" applyAlignment="1" applyProtection="1">
      <alignment vertical="center"/>
    </xf>
    <xf numFmtId="0" fontId="7" fillId="0" borderId="0" xfId="0" applyFont="1" applyProtection="1"/>
    <xf numFmtId="0" fontId="0" fillId="0" borderId="1" xfId="0" applyBorder="1" applyAlignment="1" applyProtection="1">
      <alignment horizontal="center" vertical="top" wrapText="1"/>
    </xf>
    <xf numFmtId="9" fontId="0" fillId="0" borderId="1" xfId="0" applyNumberFormat="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1" xfId="0" applyFont="1" applyFill="1" applyBorder="1" applyAlignment="1" applyProtection="1">
      <alignment horizontal="center" vertical="top" wrapText="1"/>
    </xf>
    <xf numFmtId="0" fontId="5" fillId="0" borderId="1" xfId="0" applyFont="1" applyBorder="1" applyAlignment="1" applyProtection="1">
      <alignment horizontal="center" vertical="top" wrapText="1"/>
    </xf>
    <xf numFmtId="0" fontId="5" fillId="0" borderId="1" xfId="0" applyNumberFormat="1" applyFont="1" applyBorder="1" applyAlignment="1" applyProtection="1">
      <alignment horizontal="center" vertical="center"/>
    </xf>
    <xf numFmtId="0" fontId="0" fillId="0" borderId="1" xfId="0" applyNumberFormat="1" applyBorder="1" applyAlignment="1" applyProtection="1">
      <alignment horizontal="center"/>
    </xf>
    <xf numFmtId="0" fontId="0" fillId="0" borderId="1" xfId="0" applyBorder="1" applyAlignment="1" applyProtection="1">
      <alignment horizontal="center"/>
    </xf>
    <xf numFmtId="0" fontId="5" fillId="0" borderId="1" xfId="0" applyNumberFormat="1" applyFont="1" applyBorder="1" applyAlignment="1" applyProtection="1">
      <alignment horizontal="center"/>
    </xf>
    <xf numFmtId="1" fontId="0" fillId="0" borderId="1" xfId="0" applyNumberFormat="1" applyBorder="1" applyProtection="1"/>
    <xf numFmtId="0" fontId="0" fillId="0" borderId="1" xfId="0" applyBorder="1" applyProtection="1"/>
    <xf numFmtId="0" fontId="0" fillId="0" borderId="1" xfId="0" applyBorder="1" applyAlignment="1" applyProtection="1">
      <alignment horizontal="center" vertical="center"/>
    </xf>
    <xf numFmtId="0" fontId="0" fillId="0" borderId="1" xfId="0" applyFill="1" applyBorder="1" applyAlignment="1" applyProtection="1">
      <alignment horizontal="center" vertical="top" wrapText="1"/>
    </xf>
    <xf numFmtId="0" fontId="0" fillId="0" borderId="0" xfId="0" applyFill="1" applyBorder="1" applyAlignment="1" applyProtection="1">
      <alignment vertical="top" wrapText="1"/>
    </xf>
    <xf numFmtId="0" fontId="0" fillId="0" borderId="1" xfId="0" applyFill="1" applyBorder="1" applyAlignment="1" applyProtection="1">
      <alignment horizontal="center" vertical="center"/>
    </xf>
    <xf numFmtId="0" fontId="0" fillId="0" borderId="1" xfId="0" applyFill="1" applyBorder="1" applyAlignment="1" applyProtection="1">
      <alignment horizontal="center" vertical="center" wrapText="1"/>
    </xf>
    <xf numFmtId="0" fontId="0" fillId="0" borderId="1" xfId="0" applyBorder="1" applyAlignment="1" applyProtection="1">
      <alignment vertical="top"/>
    </xf>
    <xf numFmtId="0" fontId="0" fillId="0" borderId="1" xfId="0" applyBorder="1" applyAlignment="1" applyProtection="1">
      <alignment horizontal="center" vertical="top"/>
    </xf>
    <xf numFmtId="0" fontId="0" fillId="0" borderId="1" xfId="0" applyNumberFormat="1" applyBorder="1" applyAlignment="1" applyProtection="1">
      <alignment horizontal="center" vertical="center"/>
    </xf>
    <xf numFmtId="0" fontId="3" fillId="0" borderId="1" xfId="0" applyFont="1" applyBorder="1" applyProtection="1"/>
    <xf numFmtId="0" fontId="3" fillId="0" borderId="1" xfId="0" applyFont="1" applyFill="1" applyBorder="1" applyAlignment="1" applyProtection="1">
      <alignment horizontal="center" vertical="center"/>
    </xf>
    <xf numFmtId="0" fontId="0" fillId="0" borderId="1" xfId="0" applyBorder="1" applyAlignment="1" applyProtection="1">
      <alignment vertical="top" wrapText="1"/>
    </xf>
    <xf numFmtId="0" fontId="0" fillId="0" borderId="0" xfId="0" applyBorder="1" applyAlignment="1" applyProtection="1">
      <alignment horizontal="center" vertical="top" wrapText="1"/>
    </xf>
    <xf numFmtId="0" fontId="0" fillId="0" borderId="0" xfId="0" applyFill="1" applyAlignment="1" applyProtection="1">
      <alignment wrapText="1"/>
    </xf>
    <xf numFmtId="0" fontId="0" fillId="0" borderId="1" xfId="0" applyBorder="1" applyAlignment="1" applyProtection="1">
      <alignment horizontal="center" vertical="center" wrapText="1"/>
    </xf>
    <xf numFmtId="0" fontId="0" fillId="0" borderId="0" xfId="0" applyBorder="1" applyAlignment="1" applyProtection="1">
      <alignment horizontal="center" vertical="center"/>
    </xf>
    <xf numFmtId="0" fontId="2" fillId="0" borderId="0" xfId="0" applyFont="1" applyBorder="1" applyProtection="1"/>
    <xf numFmtId="0" fontId="0" fillId="0" borderId="0" xfId="0" applyFill="1" applyBorder="1" applyAlignment="1" applyProtection="1">
      <alignment horizontal="left" vertical="top" wrapText="1"/>
    </xf>
    <xf numFmtId="0" fontId="0" fillId="0" borderId="0" xfId="0" applyBorder="1" applyAlignment="1" applyProtection="1">
      <alignment horizontal="left" vertical="top" wrapText="1"/>
    </xf>
    <xf numFmtId="0" fontId="12" fillId="0" borderId="0" xfId="0" applyFont="1" applyAlignment="1" applyProtection="1">
      <alignment horizontal="center" vertical="center"/>
    </xf>
    <xf numFmtId="0" fontId="12" fillId="0" borderId="0" xfId="0" applyFont="1" applyProtection="1"/>
    <xf numFmtId="0" fontId="5" fillId="0" borderId="0" xfId="0" applyFont="1" applyProtection="1"/>
    <xf numFmtId="3" fontId="0" fillId="0" borderId="0" xfId="0" applyNumberFormat="1" applyProtection="1"/>
    <xf numFmtId="0" fontId="4" fillId="0" borderId="1" xfId="0" applyFont="1" applyFill="1" applyBorder="1" applyAlignment="1" applyProtection="1">
      <alignment horizontal="left" vertical="top" wrapText="1"/>
    </xf>
    <xf numFmtId="0" fontId="4" fillId="0" borderId="1" xfId="1" applyFont="1" applyFill="1" applyBorder="1" applyAlignment="1" applyProtection="1">
      <alignment horizontal="left" vertical="top"/>
    </xf>
    <xf numFmtId="3" fontId="3" fillId="0" borderId="1" xfId="0" applyNumberFormat="1" applyFont="1" applyBorder="1" applyAlignment="1" applyProtection="1">
      <alignment horizontal="center" vertical="center"/>
    </xf>
    <xf numFmtId="3" fontId="0" fillId="0" borderId="1" xfId="0" applyNumberFormat="1" applyBorder="1" applyAlignment="1" applyProtection="1">
      <alignment horizontal="center" vertical="center"/>
    </xf>
    <xf numFmtId="3" fontId="0" fillId="0" borderId="1" xfId="0" applyNumberFormat="1" applyFill="1" applyBorder="1" applyAlignment="1" applyProtection="1">
      <alignment horizontal="center" vertical="center"/>
    </xf>
    <xf numFmtId="0" fontId="0" fillId="0" borderId="3" xfId="0" applyBorder="1" applyAlignment="1" applyProtection="1">
      <alignment wrapText="1"/>
    </xf>
    <xf numFmtId="0" fontId="3" fillId="0" borderId="1" xfId="0" applyFont="1" applyBorder="1" applyAlignment="1" applyProtection="1">
      <alignment horizontal="center" vertical="center"/>
    </xf>
    <xf numFmtId="0" fontId="0" fillId="0" borderId="0" xfId="0" applyAlignment="1" applyProtection="1">
      <alignment vertical="top"/>
    </xf>
    <xf numFmtId="0" fontId="5" fillId="0" borderId="1" xfId="0" applyFont="1" applyFill="1" applyBorder="1" applyAlignment="1" applyProtection="1">
      <alignment horizontal="center" vertical="center"/>
    </xf>
    <xf numFmtId="0" fontId="0" fillId="0" borderId="0" xfId="0" applyBorder="1" applyAlignment="1" applyProtection="1">
      <alignment horizontal="left" vertical="top"/>
    </xf>
    <xf numFmtId="0" fontId="0" fillId="0" borderId="0" xfId="0" applyFill="1" applyProtection="1"/>
    <xf numFmtId="0" fontId="0" fillId="0" borderId="5" xfId="0" applyBorder="1" applyAlignment="1" applyProtection="1">
      <alignment horizontal="center" vertical="top" wrapText="1"/>
    </xf>
    <xf numFmtId="0" fontId="0" fillId="0" borderId="1" xfId="0" applyBorder="1" applyAlignment="1" applyProtection="1">
      <alignment wrapText="1"/>
    </xf>
    <xf numFmtId="0" fontId="0" fillId="0" borderId="1" xfId="0" applyBorder="1" applyAlignment="1" applyProtection="1">
      <alignment vertical="center" wrapText="1"/>
    </xf>
    <xf numFmtId="0" fontId="0" fillId="0" borderId="0" xfId="0" applyFill="1" applyBorder="1" applyAlignment="1" applyProtection="1">
      <alignment wrapText="1"/>
    </xf>
    <xf numFmtId="0" fontId="0" fillId="0" borderId="0" xfId="0" applyFill="1" applyBorder="1" applyProtection="1"/>
    <xf numFmtId="0" fontId="0" fillId="0" borderId="1" xfId="0" applyFill="1" applyBorder="1" applyProtection="1"/>
    <xf numFmtId="0" fontId="0" fillId="0" borderId="0" xfId="0" applyAlignment="1" applyProtection="1">
      <alignment wrapText="1"/>
    </xf>
    <xf numFmtId="0" fontId="0" fillId="0" borderId="3" xfId="0" applyBorder="1" applyAlignment="1" applyProtection="1">
      <alignment horizontal="center" vertical="center"/>
    </xf>
    <xf numFmtId="0" fontId="12" fillId="0" borderId="0" xfId="0" applyFont="1" applyAlignment="1" applyProtection="1">
      <alignment vertical="top" wrapText="1"/>
    </xf>
    <xf numFmtId="0" fontId="12" fillId="0" borderId="0" xfId="0" applyFont="1" applyBorder="1" applyAlignment="1" applyProtection="1">
      <alignment horizontal="left" vertical="top" wrapText="1"/>
    </xf>
    <xf numFmtId="0" fontId="3" fillId="0" borderId="1" xfId="0" applyFont="1" applyBorder="1" applyAlignment="1" applyProtection="1">
      <alignment horizontal="center" vertical="top" wrapText="1"/>
    </xf>
    <xf numFmtId="0" fontId="1" fillId="0" borderId="0" xfId="0" applyFont="1" applyProtection="1"/>
    <xf numFmtId="0" fontId="0" fillId="0" borderId="1" xfId="0" applyFont="1" applyBorder="1" applyAlignment="1" applyProtection="1">
      <alignment horizontal="center" vertical="top"/>
    </xf>
    <xf numFmtId="0" fontId="0" fillId="0" borderId="1" xfId="0" applyFont="1" applyBorder="1" applyAlignment="1" applyProtection="1">
      <alignment horizontal="center" vertical="center"/>
    </xf>
    <xf numFmtId="0" fontId="0" fillId="0" borderId="0" xfId="0" applyFont="1" applyBorder="1" applyProtection="1"/>
    <xf numFmtId="0" fontId="12" fillId="0" borderId="6" xfId="0" applyFont="1" applyFill="1" applyBorder="1" applyAlignment="1" applyProtection="1">
      <alignment horizontal="center" vertical="center" wrapText="1"/>
    </xf>
    <xf numFmtId="0" fontId="0" fillId="0" borderId="0" xfId="0" applyAlignment="1" applyProtection="1">
      <alignment horizontal="center" vertical="center"/>
    </xf>
    <xf numFmtId="0" fontId="0" fillId="0" borderId="1" xfId="0" applyFont="1" applyBorder="1" applyAlignment="1" applyProtection="1">
      <alignment horizontal="center"/>
    </xf>
    <xf numFmtId="0" fontId="5" fillId="0" borderId="1" xfId="0" applyFont="1" applyBorder="1" applyAlignment="1" applyProtection="1">
      <alignment horizontal="center" vertical="center" wrapText="1"/>
    </xf>
    <xf numFmtId="0" fontId="0" fillId="0" borderId="0" xfId="0" applyBorder="1" applyProtection="1"/>
    <xf numFmtId="0" fontId="7" fillId="0" borderId="1" xfId="0" applyFont="1" applyBorder="1" applyAlignment="1" applyProtection="1">
      <alignment horizontal="center" vertical="center" wrapText="1"/>
    </xf>
    <xf numFmtId="0" fontId="0" fillId="0" borderId="0" xfId="0" applyProtection="1">
      <protection locked="0"/>
    </xf>
    <xf numFmtId="165" fontId="0" fillId="0" borderId="1" xfId="0" applyNumberFormat="1" applyBorder="1" applyAlignment="1" applyProtection="1">
      <alignment horizontal="center"/>
    </xf>
    <xf numFmtId="165" fontId="0" fillId="0" borderId="1" xfId="0" applyNumberFormat="1" applyBorder="1" applyProtection="1"/>
    <xf numFmtId="165" fontId="0" fillId="0" borderId="1" xfId="0" applyNumberFormat="1" applyBorder="1" applyAlignment="1" applyProtection="1">
      <alignment horizontal="center" vertical="center"/>
    </xf>
    <xf numFmtId="165" fontId="0" fillId="0" borderId="1" xfId="0" applyNumberFormat="1" applyBorder="1" applyAlignment="1" applyProtection="1">
      <alignment horizontal="center" vertical="center" wrapText="1"/>
    </xf>
    <xf numFmtId="165" fontId="11" fillId="0" borderId="1" xfId="0" applyNumberFormat="1" applyFont="1" applyBorder="1" applyAlignment="1" applyProtection="1">
      <alignment horizontal="center" vertical="center" wrapText="1"/>
    </xf>
    <xf numFmtId="165" fontId="11" fillId="0" borderId="1" xfId="0" applyNumberFormat="1" applyFont="1" applyBorder="1" applyAlignment="1" applyProtection="1">
      <alignment horizontal="center" vertical="center"/>
    </xf>
    <xf numFmtId="165" fontId="5" fillId="0" borderId="1" xfId="0" applyNumberFormat="1" applyFont="1" applyBorder="1" applyAlignment="1" applyProtection="1">
      <alignment horizontal="center" vertical="center"/>
    </xf>
    <xf numFmtId="165" fontId="5" fillId="3" borderId="1" xfId="0" applyNumberFormat="1" applyFont="1" applyFill="1" applyBorder="1" applyAlignment="1" applyProtection="1">
      <alignment horizontal="center" vertical="center" wrapText="1"/>
      <protection locked="0"/>
    </xf>
    <xf numFmtId="0" fontId="0" fillId="0" borderId="13" xfId="0" applyBorder="1"/>
    <xf numFmtId="0" fontId="3" fillId="0" borderId="13" xfId="0" applyFont="1" applyBorder="1"/>
    <xf numFmtId="0" fontId="3" fillId="0" borderId="14" xfId="0" applyFont="1" applyBorder="1"/>
    <xf numFmtId="0" fontId="3" fillId="0" borderId="15" xfId="0" applyFont="1" applyBorder="1"/>
    <xf numFmtId="0" fontId="3" fillId="0" borderId="16" xfId="0" applyFont="1" applyBorder="1"/>
    <xf numFmtId="0" fontId="0" fillId="0" borderId="3" xfId="0" applyBorder="1" applyAlignment="1" applyProtection="1">
      <alignment horizontal="left"/>
    </xf>
    <xf numFmtId="0" fontId="0" fillId="0" borderId="4" xfId="0" applyBorder="1" applyAlignment="1" applyProtection="1">
      <alignment horizontal="left"/>
    </xf>
    <xf numFmtId="0" fontId="0" fillId="0" borderId="2" xfId="0" applyBorder="1" applyAlignment="1" applyProtection="1">
      <alignment horizontal="left"/>
    </xf>
    <xf numFmtId="0" fontId="12" fillId="0" borderId="9" xfId="0" applyFont="1" applyBorder="1" applyAlignment="1" applyProtection="1">
      <alignment horizontal="left" vertical="top" wrapText="1"/>
    </xf>
    <xf numFmtId="0" fontId="12" fillId="0" borderId="7" xfId="0" applyFont="1" applyBorder="1" applyAlignment="1" applyProtection="1">
      <alignment horizontal="left" vertical="top" wrapText="1"/>
    </xf>
    <xf numFmtId="0" fontId="12" fillId="0" borderId="10" xfId="0" applyFont="1" applyBorder="1" applyAlignment="1" applyProtection="1">
      <alignment horizontal="left" vertical="top" wrapText="1"/>
    </xf>
    <xf numFmtId="0" fontId="12" fillId="0" borderId="11" xfId="0" applyFont="1" applyBorder="1" applyAlignment="1" applyProtection="1">
      <alignment horizontal="left" vertical="top" wrapText="1"/>
    </xf>
    <xf numFmtId="0" fontId="12" fillId="0" borderId="8" xfId="0" applyFont="1" applyBorder="1" applyAlignment="1" applyProtection="1">
      <alignment horizontal="left" vertical="top" wrapText="1"/>
    </xf>
    <xf numFmtId="0" fontId="12" fillId="0" borderId="12" xfId="0" applyFont="1" applyBorder="1" applyAlignment="1" applyProtection="1">
      <alignment horizontal="left" vertical="top" wrapText="1"/>
    </xf>
    <xf numFmtId="0" fontId="15" fillId="0" borderId="1" xfId="0" applyFont="1" applyBorder="1" applyAlignment="1" applyProtection="1">
      <alignment horizontal="center" vertical="top" wrapText="1"/>
    </xf>
    <xf numFmtId="0" fontId="9" fillId="2" borderId="1" xfId="0" applyFont="1" applyFill="1" applyBorder="1" applyAlignment="1" applyProtection="1">
      <alignment horizontal="center"/>
      <protection locked="0"/>
    </xf>
    <xf numFmtId="0" fontId="12" fillId="0" borderId="1" xfId="0" applyFont="1" applyBorder="1" applyAlignment="1" applyProtection="1">
      <alignment horizontal="left" vertical="top" wrapText="1"/>
    </xf>
    <xf numFmtId="0" fontId="4" fillId="0" borderId="1" xfId="1" applyFont="1" applyFill="1" applyBorder="1" applyAlignment="1" applyProtection="1">
      <alignment horizontal="left" vertical="top" wrapText="1"/>
    </xf>
    <xf numFmtId="0" fontId="4" fillId="0" borderId="1" xfId="0" applyFont="1" applyFill="1" applyBorder="1" applyAlignment="1" applyProtection="1">
      <alignment horizontal="left" vertical="top" wrapText="1"/>
    </xf>
    <xf numFmtId="0" fontId="5" fillId="0" borderId="1" xfId="0" applyFont="1" applyFill="1" applyBorder="1" applyAlignment="1" applyProtection="1">
      <alignment horizontal="left" vertical="top"/>
    </xf>
    <xf numFmtId="0" fontId="0" fillId="0" borderId="1" xfId="0" applyBorder="1" applyAlignment="1" applyProtection="1">
      <alignment horizontal="center"/>
    </xf>
    <xf numFmtId="0" fontId="0" fillId="0" borderId="1" xfId="0" applyFont="1" applyBorder="1" applyAlignment="1" applyProtection="1">
      <alignment horizontal="left" vertical="top" wrapText="1"/>
    </xf>
    <xf numFmtId="0" fontId="0" fillId="0" borderId="1" xfId="0" applyBorder="1" applyAlignment="1" applyProtection="1">
      <alignment vertical="top" wrapText="1"/>
    </xf>
    <xf numFmtId="0" fontId="0" fillId="0" borderId="1" xfId="0" applyBorder="1" applyAlignment="1" applyProtection="1"/>
    <xf numFmtId="0" fontId="0" fillId="0" borderId="1" xfId="0" applyBorder="1" applyAlignment="1" applyProtection="1">
      <alignment horizontal="left" vertical="top" wrapText="1"/>
    </xf>
    <xf numFmtId="0" fontId="0" fillId="0" borderId="1" xfId="0" applyFont="1" applyBorder="1" applyAlignment="1" applyProtection="1">
      <alignment horizontal="center"/>
    </xf>
    <xf numFmtId="0" fontId="0" fillId="0" borderId="3" xfId="0" applyBorder="1" applyAlignment="1" applyProtection="1">
      <alignment horizontal="center"/>
    </xf>
    <xf numFmtId="0" fontId="0" fillId="0" borderId="4" xfId="0" applyBorder="1" applyAlignment="1" applyProtection="1">
      <alignment horizontal="center"/>
    </xf>
    <xf numFmtId="0" fontId="0" fillId="0" borderId="2" xfId="0" applyBorder="1" applyAlignment="1" applyProtection="1">
      <alignment horizontal="center"/>
    </xf>
    <xf numFmtId="0" fontId="5" fillId="0" borderId="3" xfId="0" applyFont="1" applyBorder="1" applyAlignment="1" applyProtection="1">
      <alignment horizontal="center"/>
    </xf>
    <xf numFmtId="0" fontId="5" fillId="0" borderId="4" xfId="0" applyFont="1" applyBorder="1" applyAlignment="1" applyProtection="1">
      <alignment horizontal="center"/>
    </xf>
    <xf numFmtId="0" fontId="5" fillId="0" borderId="2" xfId="0" applyFont="1" applyBorder="1" applyAlignment="1" applyProtection="1">
      <alignment horizontal="center"/>
    </xf>
    <xf numFmtId="0" fontId="0" fillId="0" borderId="3" xfId="0" applyBorder="1" applyAlignment="1" applyProtection="1">
      <alignment vertical="top" wrapText="1"/>
    </xf>
    <xf numFmtId="0" fontId="0" fillId="0" borderId="4" xfId="0" applyBorder="1" applyAlignment="1" applyProtection="1">
      <alignment vertical="top" wrapText="1"/>
    </xf>
    <xf numFmtId="0" fontId="0" fillId="0" borderId="2" xfId="0" applyBorder="1" applyAlignment="1" applyProtection="1">
      <alignment vertical="top" wrapText="1"/>
    </xf>
  </cellXfs>
  <cellStyles count="4">
    <cellStyle name="Lien hypertexte" xfId="3" builtinId="8"/>
    <cellStyle name="Normal" xfId="0" builtinId="0"/>
    <cellStyle name="Normal 2 2" xfId="2"/>
    <cellStyle name="Normal_DBREF-L05-1998-TAB-B-2" xfId="1"/>
  </cellStyles>
  <dxfs count="0"/>
  <tableStyles count="0" defaultTableStyle="TableStyleMedium2" defaultPivotStyle="PivotStyleLight16"/>
  <colors>
    <mruColors>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tatbel.fgov.be/fr/modules/publications/statistiques/economie/downloads/agriculture_-_chiffres_agricoles_de_2013.jsp" TargetMode="External"/><Relationship Id="rId3" Type="http://schemas.openxmlformats.org/officeDocument/2006/relationships/hyperlink" Target="http://statbel.fgov.be/fr/modules/publications/statistiques/economie/downloads/agriculture_-_chiffres_agricoles_de_2013.jsp" TargetMode="External"/><Relationship Id="rId7" Type="http://schemas.openxmlformats.org/officeDocument/2006/relationships/hyperlink" Target="http://statbel.fgov.be/fr/binaries/DBREF-L05-2012-TAB-B-2-FR_tcm326-227401.xls" TargetMode="External"/><Relationship Id="rId12" Type="http://schemas.openxmlformats.org/officeDocument/2006/relationships/comments" Target="../comments2.xml"/><Relationship Id="rId2" Type="http://schemas.openxmlformats.org/officeDocument/2006/relationships/hyperlink" Target="http://www.gembloux.ulg.ac.be/eg/capru/communes-wallonnes-en-chiffres?view=all&amp;i_ancre=30&amp;depth=1&amp;id_theme=131&amp;categorie_1=Occupation+du+sol" TargetMode="External"/><Relationship Id="rId1" Type="http://schemas.openxmlformats.org/officeDocument/2006/relationships/hyperlink" Target="http://www.gembloux.ulg.ac.be/eg/capru/communes-wallonnes-en-chiffres?view=all&amp;i_ancre=44&amp;depth=1&amp;id_theme=118&amp;categorie_1=Logement+et+b%E2timent" TargetMode="External"/><Relationship Id="rId6" Type="http://schemas.openxmlformats.org/officeDocument/2006/relationships/hyperlink" Target="http://zoologie.umh.ac.be/tc/default.aspx" TargetMode="External"/><Relationship Id="rId11" Type="http://schemas.openxmlformats.org/officeDocument/2006/relationships/vmlDrawing" Target="../drawings/vmlDrawing2.vml"/><Relationship Id="rId5" Type="http://schemas.openxmlformats.org/officeDocument/2006/relationships/hyperlink" Target="http://www.restor-hydro.eu/en/tools/mills-map/" TargetMode="External"/><Relationship Id="rId10" Type="http://schemas.openxmlformats.org/officeDocument/2006/relationships/printerSettings" Target="../printerSettings/printerSettings2.bin"/><Relationship Id="rId4" Type="http://schemas.openxmlformats.org/officeDocument/2006/relationships/hyperlink" Target="http://www.eolien.be/node/12" TargetMode="External"/><Relationship Id="rId9" Type="http://schemas.openxmlformats.org/officeDocument/2006/relationships/hyperlink" Target="http://www.energieplus-lesite.be/index.php?id=1674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0"/>
  <sheetViews>
    <sheetView tabSelected="1" topLeftCell="A144" zoomScaleNormal="100" workbookViewId="0">
      <selection activeCell="D20" sqref="D20"/>
    </sheetView>
  </sheetViews>
  <sheetFormatPr baseColWidth="10" defaultRowHeight="12.75" x14ac:dyDescent="0.2"/>
  <cols>
    <col min="1" max="1" width="15.25" style="28" customWidth="1"/>
    <col min="2" max="2" width="11.5" style="28" customWidth="1"/>
    <col min="3" max="5" width="11.5" style="28" bestFit="1" customWidth="1"/>
    <col min="6" max="10" width="11" style="28"/>
    <col min="11" max="11" width="15.5" style="28" bestFit="1" customWidth="1"/>
    <col min="12" max="16384" width="11" style="28"/>
  </cols>
  <sheetData>
    <row r="1" spans="1:7" ht="13.5" customHeight="1" x14ac:dyDescent="0.2">
      <c r="A1" s="27" t="s">
        <v>7</v>
      </c>
    </row>
    <row r="2" spans="1:7" ht="19.5" customHeight="1" x14ac:dyDescent="0.2">
      <c r="A2" s="29"/>
      <c r="D2" s="30" t="s">
        <v>100</v>
      </c>
    </row>
    <row r="3" spans="1:7" x14ac:dyDescent="0.2">
      <c r="A3" s="31"/>
    </row>
    <row r="5" spans="1:7" ht="18.75" customHeight="1" x14ac:dyDescent="0.4">
      <c r="A5" s="32" t="s">
        <v>116</v>
      </c>
      <c r="B5" s="123" t="s">
        <v>183</v>
      </c>
      <c r="C5" s="123"/>
    </row>
    <row r="7" spans="1:7" x14ac:dyDescent="0.2">
      <c r="A7" s="31" t="s">
        <v>0</v>
      </c>
    </row>
    <row r="9" spans="1:7" x14ac:dyDescent="0.2">
      <c r="A9" s="113" t="s">
        <v>322</v>
      </c>
      <c r="B9" s="114"/>
      <c r="C9" s="115"/>
      <c r="D9" s="17">
        <v>3984.87</v>
      </c>
    </row>
    <row r="10" spans="1:7" x14ac:dyDescent="0.2">
      <c r="A10" s="113" t="s">
        <v>234</v>
      </c>
      <c r="B10" s="114"/>
      <c r="C10" s="115"/>
      <c r="D10" s="9">
        <v>5426</v>
      </c>
    </row>
    <row r="11" spans="1:7" ht="30" customHeight="1" x14ac:dyDescent="0.2">
      <c r="A11" s="130" t="s">
        <v>203</v>
      </c>
      <c r="B11" s="130"/>
      <c r="C11" s="130"/>
      <c r="D11" s="9">
        <v>384264.82</v>
      </c>
      <c r="F11" s="28" t="s">
        <v>7</v>
      </c>
    </row>
    <row r="12" spans="1:7" ht="30" customHeight="1" x14ac:dyDescent="0.2">
      <c r="A12" s="132" t="s">
        <v>204</v>
      </c>
      <c r="B12" s="132"/>
      <c r="C12" s="132"/>
      <c r="D12" s="9">
        <v>163949.51999999999</v>
      </c>
    </row>
    <row r="13" spans="1:7" x14ac:dyDescent="0.2">
      <c r="A13" s="131" t="s">
        <v>17</v>
      </c>
      <c r="B13" s="131"/>
      <c r="C13" s="131"/>
      <c r="D13" s="9">
        <v>2306.2800000000002</v>
      </c>
    </row>
    <row r="14" spans="1:7" x14ac:dyDescent="0.2">
      <c r="A14" s="131" t="s">
        <v>87</v>
      </c>
      <c r="B14" s="131"/>
      <c r="C14" s="131"/>
      <c r="D14" s="9">
        <v>14435</v>
      </c>
      <c r="G14" s="33" t="s">
        <v>7</v>
      </c>
    </row>
    <row r="16" spans="1:7" x14ac:dyDescent="0.2">
      <c r="A16" s="31" t="s">
        <v>1</v>
      </c>
    </row>
    <row r="18" spans="1:13" ht="97.5" customHeight="1" x14ac:dyDescent="0.2">
      <c r="A18" s="34" t="s">
        <v>4</v>
      </c>
      <c r="B18" s="34" t="s">
        <v>5</v>
      </c>
      <c r="C18" s="35">
        <v>0.4</v>
      </c>
      <c r="D18" s="34" t="s">
        <v>229</v>
      </c>
      <c r="E18" s="34" t="s">
        <v>230</v>
      </c>
      <c r="F18" s="34" t="s">
        <v>58</v>
      </c>
      <c r="G18" s="36" t="s">
        <v>324</v>
      </c>
      <c r="H18" s="37" t="s">
        <v>231</v>
      </c>
      <c r="I18" s="36" t="s">
        <v>325</v>
      </c>
      <c r="J18" s="38" t="s">
        <v>323</v>
      </c>
      <c r="K18" s="36" t="s">
        <v>326</v>
      </c>
      <c r="L18" s="36" t="s">
        <v>327</v>
      </c>
      <c r="M18" s="37" t="s">
        <v>329</v>
      </c>
    </row>
    <row r="19" spans="1:13" x14ac:dyDescent="0.2">
      <c r="A19" s="39">
        <f>D11*1.3</f>
        <v>499544.266</v>
      </c>
      <c r="B19" s="40">
        <f>D12</f>
        <v>163949.51999999999</v>
      </c>
      <c r="C19" s="40">
        <f>0.4*(A19+B19)</f>
        <v>265397.51439999999</v>
      </c>
      <c r="D19" s="10">
        <v>583</v>
      </c>
      <c r="E19" s="17">
        <v>573.46</v>
      </c>
      <c r="F19" s="41">
        <f>IF(C19-D19-E19&lt;0,0,C19-D19-E19)</f>
        <v>264241.05439999996</v>
      </c>
      <c r="G19" s="41">
        <f>F19*100</f>
        <v>26424105.439999998</v>
      </c>
      <c r="H19" s="11">
        <v>115</v>
      </c>
      <c r="I19" s="42">
        <f>G19-H19</f>
        <v>26423990.439999998</v>
      </c>
      <c r="J19" s="100">
        <f>I19/900</f>
        <v>29359.989377777776</v>
      </c>
      <c r="K19" s="43">
        <f>(D9*10000)*0.01*0.15*900</f>
        <v>53795744.999999993</v>
      </c>
      <c r="L19" s="44">
        <f>K19/900</f>
        <v>59773.049999999988</v>
      </c>
      <c r="M19" s="101">
        <f>J19+L19</f>
        <v>89133.039377777764</v>
      </c>
    </row>
    <row r="20" spans="1:13" x14ac:dyDescent="0.2">
      <c r="B20" s="28" t="s">
        <v>7</v>
      </c>
      <c r="H20" s="28" t="s">
        <v>7</v>
      </c>
    </row>
    <row r="21" spans="1:13" x14ac:dyDescent="0.2">
      <c r="A21" s="31" t="s">
        <v>2</v>
      </c>
    </row>
    <row r="23" spans="1:13" ht="51" x14ac:dyDescent="0.2">
      <c r="A23" s="34" t="s">
        <v>59</v>
      </c>
      <c r="B23" s="34" t="s">
        <v>61</v>
      </c>
      <c r="C23" s="34" t="s">
        <v>328</v>
      </c>
    </row>
    <row r="24" spans="1:13" x14ac:dyDescent="0.2">
      <c r="A24" s="45">
        <f>D19</f>
        <v>583</v>
      </c>
      <c r="B24" s="45">
        <f>A24*390</f>
        <v>227370</v>
      </c>
      <c r="C24" s="102">
        <f>B24/900</f>
        <v>252.63333333333333</v>
      </c>
    </row>
    <row r="26" spans="1:13" x14ac:dyDescent="0.2">
      <c r="A26" s="31" t="s">
        <v>3</v>
      </c>
    </row>
    <row r="28" spans="1:13" ht="80.25" customHeight="1" x14ac:dyDescent="0.2">
      <c r="A28" s="46" t="s">
        <v>6</v>
      </c>
      <c r="B28" s="46" t="s">
        <v>62</v>
      </c>
      <c r="C28" s="46" t="s">
        <v>63</v>
      </c>
      <c r="D28" s="37" t="s">
        <v>201</v>
      </c>
      <c r="E28" s="46" t="s">
        <v>64</v>
      </c>
      <c r="F28" s="46" t="s">
        <v>202</v>
      </c>
      <c r="H28" s="47" t="s">
        <v>7</v>
      </c>
    </row>
    <row r="29" spans="1:13" x14ac:dyDescent="0.2">
      <c r="A29" s="9">
        <v>0</v>
      </c>
      <c r="B29" s="48">
        <f>A29*30</f>
        <v>0</v>
      </c>
      <c r="C29" s="9">
        <v>0</v>
      </c>
      <c r="D29" s="9">
        <v>0</v>
      </c>
      <c r="E29" s="49">
        <f>1000000*(B29+C29-D29)/2190</f>
        <v>0</v>
      </c>
      <c r="F29" s="48">
        <f>E29/2300</f>
        <v>0</v>
      </c>
    </row>
    <row r="31" spans="1:13" x14ac:dyDescent="0.2">
      <c r="A31" s="31" t="s">
        <v>8</v>
      </c>
    </row>
    <row r="33" spans="1:7" ht="70.5" customHeight="1" x14ac:dyDescent="0.2">
      <c r="A33" s="50"/>
      <c r="B33" s="51" t="s">
        <v>9</v>
      </c>
      <c r="C33" s="51" t="s">
        <v>114</v>
      </c>
      <c r="D33" s="51" t="s">
        <v>13</v>
      </c>
      <c r="E33" s="34" t="s">
        <v>14</v>
      </c>
      <c r="F33" s="34" t="s">
        <v>67</v>
      </c>
      <c r="G33" s="34" t="s">
        <v>57</v>
      </c>
    </row>
    <row r="34" spans="1:7" x14ac:dyDescent="0.2">
      <c r="A34" s="44" t="s">
        <v>10</v>
      </c>
      <c r="B34" s="12">
        <v>0</v>
      </c>
      <c r="C34" s="12">
        <v>1.2</v>
      </c>
      <c r="D34" s="52">
        <v>0.6</v>
      </c>
      <c r="E34" s="52">
        <f>9.81*B34*C34*D34</f>
        <v>0</v>
      </c>
      <c r="F34" s="52">
        <f>E34*3300</f>
        <v>0</v>
      </c>
      <c r="G34" s="52">
        <f>F34/3300</f>
        <v>0</v>
      </c>
    </row>
    <row r="35" spans="1:7" x14ac:dyDescent="0.2">
      <c r="A35" s="44" t="s">
        <v>11</v>
      </c>
      <c r="B35" s="12">
        <v>0</v>
      </c>
      <c r="C35" s="9">
        <v>1.2</v>
      </c>
      <c r="D35" s="45">
        <v>0.6</v>
      </c>
      <c r="E35" s="52">
        <f>9.81*B35*C35*D35</f>
        <v>0</v>
      </c>
      <c r="F35" s="45">
        <f>E35*3300</f>
        <v>0</v>
      </c>
      <c r="G35" s="45">
        <f>F35/3300</f>
        <v>0</v>
      </c>
    </row>
    <row r="36" spans="1:7" x14ac:dyDescent="0.2">
      <c r="A36" s="44" t="s">
        <v>12</v>
      </c>
      <c r="B36" s="12">
        <v>0</v>
      </c>
      <c r="C36" s="9">
        <v>1.2</v>
      </c>
      <c r="D36" s="45">
        <v>0.6</v>
      </c>
      <c r="E36" s="52">
        <f>9.81*B36*C36*D36</f>
        <v>0</v>
      </c>
      <c r="F36" s="45">
        <f>E36*3300</f>
        <v>0</v>
      </c>
      <c r="G36" s="45">
        <f>F36/3300</f>
        <v>0</v>
      </c>
    </row>
    <row r="37" spans="1:7" x14ac:dyDescent="0.2">
      <c r="A37" s="44" t="s">
        <v>65</v>
      </c>
      <c r="B37" s="12">
        <v>0</v>
      </c>
      <c r="C37" s="9">
        <v>1.2</v>
      </c>
      <c r="D37" s="45">
        <v>0.6</v>
      </c>
      <c r="E37" s="52">
        <f>9.81*B37*C37*D37</f>
        <v>0</v>
      </c>
      <c r="F37" s="45">
        <f>E37*3300</f>
        <v>0</v>
      </c>
      <c r="G37" s="45">
        <f>F37/3300</f>
        <v>0</v>
      </c>
    </row>
    <row r="38" spans="1:7" x14ac:dyDescent="0.2">
      <c r="A38" s="44" t="s">
        <v>66</v>
      </c>
      <c r="B38" s="12">
        <v>0</v>
      </c>
      <c r="C38" s="9">
        <v>1.2</v>
      </c>
      <c r="D38" s="45">
        <v>0.6</v>
      </c>
      <c r="E38" s="52">
        <f>9.81*B38*C38*D38</f>
        <v>0</v>
      </c>
      <c r="F38" s="45">
        <f>E38*3300</f>
        <v>0</v>
      </c>
      <c r="G38" s="45">
        <f>F38/3300</f>
        <v>0</v>
      </c>
    </row>
    <row r="39" spans="1:7" x14ac:dyDescent="0.2">
      <c r="F39" s="53" t="s">
        <v>110</v>
      </c>
      <c r="G39" s="54">
        <f>SUM(G34:G38)</f>
        <v>0</v>
      </c>
    </row>
    <row r="40" spans="1:7" x14ac:dyDescent="0.2">
      <c r="A40" s="31" t="s">
        <v>205</v>
      </c>
    </row>
    <row r="42" spans="1:7" ht="76.5" x14ac:dyDescent="0.2">
      <c r="A42" s="55" t="s">
        <v>206</v>
      </c>
      <c r="B42" s="34" t="s">
        <v>15</v>
      </c>
      <c r="C42" s="34" t="s">
        <v>69</v>
      </c>
      <c r="D42" s="34" t="s">
        <v>68</v>
      </c>
      <c r="E42" s="56" t="s">
        <v>7</v>
      </c>
      <c r="F42" s="57" t="s">
        <v>7</v>
      </c>
      <c r="G42" s="28" t="s">
        <v>7</v>
      </c>
    </row>
    <row r="43" spans="1:7" x14ac:dyDescent="0.2">
      <c r="A43" s="17">
        <v>0.1</v>
      </c>
      <c r="B43" s="58">
        <f>A43*D10</f>
        <v>542.6</v>
      </c>
      <c r="C43" s="58">
        <f>10.3*1800*B43</f>
        <v>10059804</v>
      </c>
      <c r="D43" s="45">
        <f>(C43)/1800</f>
        <v>5588.78</v>
      </c>
      <c r="E43" s="59" t="s">
        <v>7</v>
      </c>
    </row>
    <row r="45" spans="1:7" x14ac:dyDescent="0.2">
      <c r="A45" s="31" t="s">
        <v>16</v>
      </c>
    </row>
    <row r="46" spans="1:7" x14ac:dyDescent="0.2">
      <c r="A46" s="60"/>
    </row>
    <row r="47" spans="1:7" x14ac:dyDescent="0.2">
      <c r="A47" s="28" t="s">
        <v>21</v>
      </c>
    </row>
    <row r="48" spans="1:7" ht="63.75" x14ac:dyDescent="0.2">
      <c r="A48" s="34" t="s">
        <v>18</v>
      </c>
      <c r="B48" s="34" t="s">
        <v>70</v>
      </c>
      <c r="C48" s="34" t="s">
        <v>19</v>
      </c>
      <c r="D48" s="34" t="s">
        <v>60</v>
      </c>
      <c r="E48" s="61" t="s">
        <v>7</v>
      </c>
      <c r="F48" s="61" t="s">
        <v>7</v>
      </c>
    </row>
    <row r="49" spans="1:26" x14ac:dyDescent="0.2">
      <c r="A49" s="58">
        <f>(D13)*0.7</f>
        <v>1614.396</v>
      </c>
      <c r="B49" s="103">
        <f>A49*3.9</f>
        <v>6296.1444000000001</v>
      </c>
      <c r="C49" s="103">
        <f>0.85*B49</f>
        <v>5351.7227400000002</v>
      </c>
      <c r="D49" s="104">
        <f>(C49*1000)/4800</f>
        <v>1114.9422375000001</v>
      </c>
      <c r="E49" s="62"/>
    </row>
    <row r="51" spans="1:26" x14ac:dyDescent="0.2">
      <c r="A51" s="63" t="s">
        <v>20</v>
      </c>
      <c r="B51" s="64" t="s">
        <v>115</v>
      </c>
    </row>
    <row r="53" spans="1:26" x14ac:dyDescent="0.2">
      <c r="A53" s="65" t="s">
        <v>22</v>
      </c>
    </row>
    <row r="54" spans="1:26" ht="63.75" x14ac:dyDescent="0.2">
      <c r="A54" s="34" t="s">
        <v>18</v>
      </c>
      <c r="B54" s="34" t="s">
        <v>70</v>
      </c>
      <c r="C54" s="34" t="s">
        <v>71</v>
      </c>
      <c r="D54" s="34" t="s">
        <v>72</v>
      </c>
      <c r="E54" s="46" t="s">
        <v>64</v>
      </c>
      <c r="F54" s="46" t="s">
        <v>73</v>
      </c>
    </row>
    <row r="55" spans="1:26" x14ac:dyDescent="0.2">
      <c r="A55" s="103">
        <f>A49</f>
        <v>1614.396</v>
      </c>
      <c r="B55" s="103">
        <f>A55*3.9</f>
        <v>6296.1444000000001</v>
      </c>
      <c r="C55" s="103">
        <f>0.35*B55</f>
        <v>2203.6505400000001</v>
      </c>
      <c r="D55" s="103">
        <f>0.55*B55</f>
        <v>3462.8794200000002</v>
      </c>
      <c r="E55" s="105">
        <f>(C55*1000)/4800</f>
        <v>459.0938625</v>
      </c>
      <c r="F55" s="105">
        <f>(D55*1000)/4800</f>
        <v>721.43321250000008</v>
      </c>
    </row>
    <row r="57" spans="1:26" x14ac:dyDescent="0.2">
      <c r="A57" s="31" t="s">
        <v>23</v>
      </c>
    </row>
    <row r="59" spans="1:26" x14ac:dyDescent="0.2">
      <c r="A59" s="66" t="s">
        <v>7</v>
      </c>
      <c r="B59" s="125" t="s">
        <v>24</v>
      </c>
      <c r="C59" s="125"/>
      <c r="D59" s="125"/>
      <c r="E59" s="125"/>
      <c r="F59" s="125"/>
      <c r="G59" s="125"/>
      <c r="H59" s="125"/>
      <c r="I59" s="125"/>
      <c r="J59" s="125"/>
      <c r="K59" s="125"/>
      <c r="L59" s="125"/>
      <c r="M59" s="125"/>
      <c r="N59" s="125" t="s">
        <v>25</v>
      </c>
      <c r="O59" s="125"/>
      <c r="P59" s="125"/>
      <c r="Q59" s="125"/>
      <c r="R59" s="127"/>
      <c r="S59" s="127"/>
      <c r="T59" s="127"/>
      <c r="U59" s="125" t="s">
        <v>26</v>
      </c>
      <c r="V59" s="125" t="s">
        <v>27</v>
      </c>
      <c r="W59" s="125" t="s">
        <v>28</v>
      </c>
      <c r="X59" s="125"/>
      <c r="Y59" s="125"/>
    </row>
    <row r="60" spans="1:26" x14ac:dyDescent="0.2">
      <c r="B60" s="125"/>
      <c r="C60" s="125" t="s">
        <v>29</v>
      </c>
      <c r="D60" s="125"/>
      <c r="E60" s="125"/>
      <c r="F60" s="125" t="s">
        <v>30</v>
      </c>
      <c r="G60" s="125" t="s">
        <v>31</v>
      </c>
      <c r="H60" s="125"/>
      <c r="I60" s="125"/>
      <c r="J60" s="125"/>
      <c r="K60" s="125"/>
      <c r="L60" s="125"/>
      <c r="M60" s="125"/>
      <c r="N60" s="125"/>
      <c r="O60" s="125" t="s">
        <v>32</v>
      </c>
      <c r="P60" s="125" t="s">
        <v>33</v>
      </c>
      <c r="Q60" s="125" t="s">
        <v>34</v>
      </c>
      <c r="R60" s="125" t="s">
        <v>35</v>
      </c>
      <c r="S60" s="125"/>
      <c r="T60" s="125"/>
      <c r="U60" s="125"/>
      <c r="V60" s="125"/>
      <c r="W60" s="126"/>
      <c r="X60" s="125" t="s">
        <v>36</v>
      </c>
      <c r="Y60" s="125" t="s">
        <v>37</v>
      </c>
    </row>
    <row r="61" spans="1:26" x14ac:dyDescent="0.2">
      <c r="B61" s="125"/>
      <c r="C61" s="125"/>
      <c r="D61" s="125" t="s">
        <v>38</v>
      </c>
      <c r="E61" s="125" t="s">
        <v>39</v>
      </c>
      <c r="F61" s="125"/>
      <c r="G61" s="125"/>
      <c r="H61" s="125" t="s">
        <v>40</v>
      </c>
      <c r="I61" s="125" t="s">
        <v>41</v>
      </c>
      <c r="J61" s="125"/>
      <c r="K61" s="125"/>
      <c r="L61" s="125"/>
      <c r="M61" s="125"/>
      <c r="N61" s="125"/>
      <c r="O61" s="125"/>
      <c r="P61" s="125"/>
      <c r="Q61" s="125"/>
      <c r="R61" s="125"/>
      <c r="S61" s="125" t="s">
        <v>42</v>
      </c>
      <c r="T61" s="125" t="s">
        <v>43</v>
      </c>
      <c r="U61" s="125"/>
      <c r="V61" s="125"/>
      <c r="W61" s="126"/>
      <c r="X61" s="125"/>
      <c r="Y61" s="125"/>
    </row>
    <row r="62" spans="1:26" x14ac:dyDescent="0.2">
      <c r="B62" s="125"/>
      <c r="C62" s="125"/>
      <c r="D62" s="125"/>
      <c r="E62" s="125"/>
      <c r="F62" s="125"/>
      <c r="G62" s="125"/>
      <c r="H62" s="125"/>
      <c r="I62" s="125"/>
      <c r="J62" s="125" t="s">
        <v>44</v>
      </c>
      <c r="K62" s="125" t="s">
        <v>45</v>
      </c>
      <c r="L62" s="125"/>
      <c r="M62" s="125"/>
      <c r="N62" s="125"/>
      <c r="O62" s="125"/>
      <c r="P62" s="125"/>
      <c r="Q62" s="125"/>
      <c r="R62" s="125"/>
      <c r="S62" s="125"/>
      <c r="T62" s="125"/>
      <c r="U62" s="125"/>
      <c r="V62" s="125"/>
      <c r="W62" s="126"/>
      <c r="X62" s="125"/>
      <c r="Y62" s="125"/>
    </row>
    <row r="63" spans="1:26" x14ac:dyDescent="0.2">
      <c r="B63" s="125"/>
      <c r="C63" s="125"/>
      <c r="D63" s="125"/>
      <c r="E63" s="125"/>
      <c r="F63" s="125"/>
      <c r="G63" s="125"/>
      <c r="H63" s="125"/>
      <c r="I63" s="125"/>
      <c r="J63" s="125"/>
      <c r="K63" s="67"/>
      <c r="L63" s="68" t="s">
        <v>46</v>
      </c>
      <c r="M63" s="68" t="s">
        <v>47</v>
      </c>
      <c r="N63" s="125"/>
      <c r="O63" s="125"/>
      <c r="P63" s="125"/>
      <c r="Q63" s="125"/>
      <c r="R63" s="125"/>
      <c r="S63" s="125"/>
      <c r="T63" s="125"/>
      <c r="U63" s="125"/>
      <c r="V63" s="125"/>
      <c r="W63" s="126"/>
      <c r="X63" s="125"/>
      <c r="Y63" s="125"/>
    </row>
    <row r="64" spans="1:26" x14ac:dyDescent="0.2">
      <c r="B64" s="69"/>
      <c r="C64" s="13">
        <v>25</v>
      </c>
      <c r="D64" s="70"/>
      <c r="E64" s="70"/>
      <c r="F64" s="13">
        <v>13</v>
      </c>
      <c r="G64" s="69"/>
      <c r="H64" s="14">
        <v>2</v>
      </c>
      <c r="I64" s="70"/>
      <c r="J64" s="14">
        <v>10</v>
      </c>
      <c r="K64" s="70"/>
      <c r="L64" s="14">
        <v>53</v>
      </c>
      <c r="M64" s="14">
        <v>10</v>
      </c>
      <c r="N64" s="69"/>
      <c r="O64" s="14">
        <v>0</v>
      </c>
      <c r="P64" s="14">
        <v>0</v>
      </c>
      <c r="Q64" s="14">
        <v>0</v>
      </c>
      <c r="R64" s="71"/>
      <c r="S64" s="14">
        <v>0</v>
      </c>
      <c r="T64" s="14">
        <v>0</v>
      </c>
      <c r="U64" s="13">
        <v>0</v>
      </c>
      <c r="V64" s="13">
        <v>0</v>
      </c>
      <c r="W64" s="69"/>
      <c r="X64" s="14">
        <v>0</v>
      </c>
      <c r="Y64" s="14">
        <v>0</v>
      </c>
      <c r="Z64" s="45" t="s">
        <v>52</v>
      </c>
    </row>
    <row r="65" spans="1:26" x14ac:dyDescent="0.2">
      <c r="A65" s="72" t="s">
        <v>48</v>
      </c>
      <c r="B65" s="45"/>
      <c r="C65" s="45">
        <f>1.9*C64</f>
        <v>47.5</v>
      </c>
      <c r="D65" s="45"/>
      <c r="E65" s="45"/>
      <c r="F65" s="45">
        <f>3.3*F64</f>
        <v>42.9</v>
      </c>
      <c r="G65" s="45"/>
      <c r="H65" s="45">
        <f>3.9*H64</f>
        <v>7.8</v>
      </c>
      <c r="I65" s="45"/>
      <c r="J65" s="45">
        <f>3.9*J64</f>
        <v>39</v>
      </c>
      <c r="K65" s="45"/>
      <c r="L65" s="45">
        <f>L64*6</f>
        <v>318</v>
      </c>
      <c r="M65" s="45">
        <f>4*M64</f>
        <v>40</v>
      </c>
      <c r="N65" s="45"/>
      <c r="O65" s="45">
        <f>0.4*O64</f>
        <v>0</v>
      </c>
      <c r="P65" s="45">
        <f>0.8*P64</f>
        <v>0</v>
      </c>
      <c r="Q65" s="45">
        <f>Q64*0.8</f>
        <v>0</v>
      </c>
      <c r="R65" s="45"/>
      <c r="S65" s="45">
        <f>S64*3.1</f>
        <v>0</v>
      </c>
      <c r="T65" s="45">
        <f>3.1*T64</f>
        <v>0</v>
      </c>
      <c r="U65" s="45">
        <f>0.65*U64</f>
        <v>0</v>
      </c>
      <c r="V65" s="45">
        <f>0.65*V64</f>
        <v>0</v>
      </c>
      <c r="W65" s="45"/>
      <c r="X65" s="45">
        <f>X64*0.02</f>
        <v>0</v>
      </c>
      <c r="Y65" s="45">
        <f>Y64*0.02</f>
        <v>0</v>
      </c>
      <c r="Z65" s="73">
        <f>SUM(B65:Y65)</f>
        <v>495.2</v>
      </c>
    </row>
    <row r="66" spans="1:26" x14ac:dyDescent="0.2">
      <c r="A66" s="72" t="s">
        <v>49</v>
      </c>
      <c r="B66" s="45"/>
      <c r="C66" s="45">
        <f>C64*1</f>
        <v>25</v>
      </c>
      <c r="D66" s="45"/>
      <c r="E66" s="45"/>
      <c r="F66" s="45">
        <f>1.7*F64</f>
        <v>22.099999999999998</v>
      </c>
      <c r="G66" s="45"/>
      <c r="H66" s="45">
        <f>2*H64</f>
        <v>4</v>
      </c>
      <c r="I66" s="45"/>
      <c r="J66" s="45">
        <f>2*J64</f>
        <v>20</v>
      </c>
      <c r="K66" s="45"/>
      <c r="L66" s="45">
        <f>L64*3</f>
        <v>159</v>
      </c>
      <c r="M66" s="45">
        <f>M64*2</f>
        <v>20</v>
      </c>
      <c r="N66" s="45"/>
      <c r="O66" s="45">
        <f>0.1*O64</f>
        <v>0</v>
      </c>
      <c r="P66" s="45">
        <f>0.3*P64</f>
        <v>0</v>
      </c>
      <c r="Q66" s="45">
        <f>0.3*Q64</f>
        <v>0</v>
      </c>
      <c r="R66" s="45"/>
      <c r="S66" s="45">
        <f>1.3*S64</f>
        <v>0</v>
      </c>
      <c r="T66" s="45">
        <f>T64*1.2</f>
        <v>0</v>
      </c>
      <c r="U66" s="45"/>
      <c r="V66" s="45"/>
      <c r="W66" s="45"/>
      <c r="X66" s="45">
        <f>X64*0.03</f>
        <v>0</v>
      </c>
      <c r="Y66" s="45">
        <f>0.02*Y64</f>
        <v>0</v>
      </c>
      <c r="Z66" s="73">
        <f>SUM(B66:Y66)</f>
        <v>250.1</v>
      </c>
    </row>
    <row r="68" spans="1:26" ht="38.25" x14ac:dyDescent="0.2">
      <c r="A68" s="34" t="s">
        <v>54</v>
      </c>
      <c r="B68" s="34" t="s">
        <v>53</v>
      </c>
      <c r="C68" s="38" t="s">
        <v>50</v>
      </c>
      <c r="D68" s="38" t="s">
        <v>51</v>
      </c>
      <c r="E68" s="62" t="s">
        <v>7</v>
      </c>
      <c r="F68" s="62" t="s">
        <v>7</v>
      </c>
      <c r="H68" s="74" t="s">
        <v>7</v>
      </c>
      <c r="I68" s="28" t="s">
        <v>7</v>
      </c>
    </row>
    <row r="69" spans="1:26" x14ac:dyDescent="0.2">
      <c r="A69" s="75">
        <f>Z65*0.7</f>
        <v>346.64</v>
      </c>
      <c r="B69" s="75">
        <f>Z66*1</f>
        <v>250.1</v>
      </c>
      <c r="C69" s="45">
        <f>30*A69</f>
        <v>10399.199999999999</v>
      </c>
      <c r="D69" s="45">
        <f>10*B69</f>
        <v>2501</v>
      </c>
      <c r="E69" s="76" t="s">
        <v>7</v>
      </c>
      <c r="F69" s="76" t="s">
        <v>7</v>
      </c>
    </row>
    <row r="70" spans="1:26" x14ac:dyDescent="0.2">
      <c r="A70" s="77"/>
      <c r="B70" s="77"/>
    </row>
    <row r="71" spans="1:26" x14ac:dyDescent="0.2">
      <c r="A71" s="28" t="s">
        <v>55</v>
      </c>
    </row>
    <row r="72" spans="1:26" ht="63.75" x14ac:dyDescent="0.2">
      <c r="A72" s="34" t="s">
        <v>56</v>
      </c>
      <c r="B72" s="34" t="s">
        <v>67</v>
      </c>
      <c r="C72" s="34" t="s">
        <v>74</v>
      </c>
      <c r="D72" s="34" t="s">
        <v>64</v>
      </c>
      <c r="E72" s="34" t="s">
        <v>68</v>
      </c>
    </row>
    <row r="73" spans="1:26" x14ac:dyDescent="0.2">
      <c r="A73" s="45">
        <f>(C69+D69)*10</f>
        <v>129001.99999999999</v>
      </c>
      <c r="B73" s="45">
        <f>0.4*A73</f>
        <v>51600.799999999996</v>
      </c>
      <c r="C73" s="45">
        <f>0.5*A73</f>
        <v>64500.999999999993</v>
      </c>
      <c r="D73" s="45">
        <f>B73/6500</f>
        <v>7.9385846153846149</v>
      </c>
      <c r="E73" s="45">
        <f>C73/6500</f>
        <v>9.9232307692307682</v>
      </c>
    </row>
    <row r="75" spans="1:26" x14ac:dyDescent="0.2">
      <c r="A75" s="31" t="s">
        <v>75</v>
      </c>
    </row>
    <row r="77" spans="1:26" ht="25.5" x14ac:dyDescent="0.2">
      <c r="B77" s="78" t="s">
        <v>77</v>
      </c>
      <c r="C77" s="78" t="s">
        <v>78</v>
      </c>
      <c r="D77" s="78" t="s">
        <v>79</v>
      </c>
    </row>
    <row r="78" spans="1:26" ht="25.5" x14ac:dyDescent="0.2">
      <c r="A78" s="79" t="s">
        <v>76</v>
      </c>
      <c r="B78" s="9">
        <v>0</v>
      </c>
      <c r="C78" s="45">
        <f>40*B78</f>
        <v>0</v>
      </c>
      <c r="D78" s="45">
        <f>55*C78</f>
        <v>0</v>
      </c>
    </row>
    <row r="79" spans="1:26" ht="25.5" x14ac:dyDescent="0.2">
      <c r="A79" s="79" t="s">
        <v>80</v>
      </c>
      <c r="B79" s="9">
        <v>0</v>
      </c>
      <c r="C79" s="45">
        <f>20*B79</f>
        <v>0</v>
      </c>
      <c r="D79" s="45">
        <f>80*C79</f>
        <v>0</v>
      </c>
    </row>
    <row r="80" spans="1:26" ht="25.5" x14ac:dyDescent="0.2">
      <c r="A80" s="79" t="s">
        <v>81</v>
      </c>
      <c r="B80" s="9">
        <v>0</v>
      </c>
      <c r="C80" s="45">
        <f>1.2*B80</f>
        <v>0</v>
      </c>
      <c r="D80" s="45">
        <f>210*C80</f>
        <v>0</v>
      </c>
    </row>
    <row r="81" spans="1:10" ht="25.5" x14ac:dyDescent="0.2">
      <c r="A81" s="79" t="s">
        <v>82</v>
      </c>
      <c r="B81" s="9">
        <v>0</v>
      </c>
      <c r="C81" s="45">
        <f>4*B81</f>
        <v>0</v>
      </c>
      <c r="D81" s="45">
        <f>190*C81</f>
        <v>0</v>
      </c>
    </row>
    <row r="82" spans="1:10" ht="18.75" customHeight="1" x14ac:dyDescent="0.2">
      <c r="A82" s="80" t="s">
        <v>83</v>
      </c>
      <c r="B82" s="9">
        <v>0</v>
      </c>
      <c r="C82" s="45">
        <f>0.01*B82*7.5</f>
        <v>0</v>
      </c>
      <c r="D82" s="45">
        <f>285*C82</f>
        <v>0</v>
      </c>
    </row>
    <row r="83" spans="1:10" ht="25.5" x14ac:dyDescent="0.2">
      <c r="A83" s="79" t="s">
        <v>207</v>
      </c>
      <c r="B83" s="9">
        <v>0</v>
      </c>
      <c r="C83" s="45">
        <f>0.05*B83*40</f>
        <v>0</v>
      </c>
      <c r="D83" s="45">
        <f>77*C83</f>
        <v>0</v>
      </c>
    </row>
    <row r="84" spans="1:10" ht="25.5" x14ac:dyDescent="0.2">
      <c r="A84" s="79" t="s">
        <v>85</v>
      </c>
      <c r="B84" s="9">
        <v>0</v>
      </c>
      <c r="C84" s="45">
        <f>13*B84</f>
        <v>0</v>
      </c>
      <c r="D84" s="45">
        <f>67*C84</f>
        <v>0</v>
      </c>
    </row>
    <row r="85" spans="1:10" ht="25.5" x14ac:dyDescent="0.2">
      <c r="A85" s="79" t="s">
        <v>84</v>
      </c>
      <c r="B85" s="9">
        <v>0</v>
      </c>
      <c r="C85" s="45">
        <f>2*B85</f>
        <v>0</v>
      </c>
      <c r="D85" s="45">
        <f>183*C85</f>
        <v>0</v>
      </c>
    </row>
    <row r="86" spans="1:10" s="77" customFormat="1" x14ac:dyDescent="0.2">
      <c r="A86" s="81"/>
      <c r="B86" s="82"/>
      <c r="C86" s="83" t="s">
        <v>86</v>
      </c>
      <c r="D86" s="54">
        <f>SUM(D78:D85)</f>
        <v>0</v>
      </c>
    </row>
    <row r="87" spans="1:10" x14ac:dyDescent="0.2">
      <c r="A87" s="84"/>
    </row>
    <row r="88" spans="1:10" x14ac:dyDescent="0.2">
      <c r="A88" s="28" t="s">
        <v>55</v>
      </c>
    </row>
    <row r="89" spans="1:10" ht="63.75" x14ac:dyDescent="0.2">
      <c r="A89" s="34" t="s">
        <v>56</v>
      </c>
      <c r="B89" s="34" t="s">
        <v>67</v>
      </c>
      <c r="C89" s="34" t="s">
        <v>74</v>
      </c>
      <c r="D89" s="34" t="s">
        <v>64</v>
      </c>
      <c r="E89" s="34" t="s">
        <v>68</v>
      </c>
    </row>
    <row r="90" spans="1:10" x14ac:dyDescent="0.2">
      <c r="A90" s="45">
        <f>(D86)*10</f>
        <v>0</v>
      </c>
      <c r="B90" s="45">
        <f>0.4*A90</f>
        <v>0</v>
      </c>
      <c r="C90" s="45">
        <f>0.5*A90</f>
        <v>0</v>
      </c>
      <c r="D90" s="45">
        <f>B90/6500</f>
        <v>0</v>
      </c>
      <c r="E90" s="45">
        <f>C90/6500</f>
        <v>0</v>
      </c>
    </row>
    <row r="92" spans="1:10" x14ac:dyDescent="0.2">
      <c r="A92" s="31" t="s">
        <v>113</v>
      </c>
    </row>
    <row r="94" spans="1:10" ht="56.25" customHeight="1" x14ac:dyDescent="0.2">
      <c r="A94" s="34" t="s">
        <v>88</v>
      </c>
      <c r="B94" s="124" t="s">
        <v>226</v>
      </c>
      <c r="C94" s="124"/>
      <c r="D94" s="124"/>
      <c r="E94" s="124"/>
      <c r="F94" s="124"/>
      <c r="G94" s="124"/>
      <c r="H94" s="124"/>
    </row>
    <row r="95" spans="1:10" x14ac:dyDescent="0.2">
      <c r="A95" s="85">
        <f>0.05*D14/100</f>
        <v>7.2175000000000002</v>
      </c>
      <c r="B95" s="116" t="s">
        <v>228</v>
      </c>
      <c r="C95" s="117"/>
      <c r="D95" s="117"/>
      <c r="E95" s="117"/>
      <c r="F95" s="117"/>
      <c r="G95" s="117"/>
      <c r="H95" s="118"/>
    </row>
    <row r="96" spans="1:10" ht="46.5" customHeight="1" x14ac:dyDescent="0.2">
      <c r="B96" s="119"/>
      <c r="C96" s="120"/>
      <c r="D96" s="120"/>
      <c r="E96" s="120"/>
      <c r="F96" s="120"/>
      <c r="G96" s="120"/>
      <c r="H96" s="121"/>
      <c r="I96" s="86"/>
      <c r="J96" s="86"/>
    </row>
    <row r="97" spans="1:10" ht="21" customHeight="1" x14ac:dyDescent="0.2">
      <c r="B97" s="87"/>
      <c r="C97" s="87"/>
      <c r="D97" s="87"/>
      <c r="E97" s="87"/>
      <c r="F97" s="87"/>
      <c r="G97" s="87"/>
      <c r="H97" s="87"/>
      <c r="I97" s="86"/>
      <c r="J97" s="86"/>
    </row>
    <row r="98" spans="1:10" ht="16.5" customHeight="1" x14ac:dyDescent="0.2">
      <c r="B98" s="122" t="s">
        <v>227</v>
      </c>
      <c r="C98" s="122"/>
      <c r="D98" s="122"/>
      <c r="E98" s="87"/>
      <c r="F98" s="87"/>
      <c r="G98" s="87"/>
      <c r="H98" s="87"/>
      <c r="I98" s="86"/>
      <c r="J98" s="86"/>
    </row>
    <row r="99" spans="1:10" ht="65.25" customHeight="1" x14ac:dyDescent="0.2">
      <c r="B99" s="88" t="s">
        <v>223</v>
      </c>
      <c r="C99" s="88" t="s">
        <v>224</v>
      </c>
      <c r="D99" s="88" t="s">
        <v>225</v>
      </c>
      <c r="E99" s="87"/>
      <c r="F99" s="87"/>
      <c r="G99" s="87"/>
      <c r="H99" s="87"/>
      <c r="I99" s="86"/>
      <c r="J99" s="86"/>
    </row>
    <row r="100" spans="1:10" ht="30.75" customHeight="1" x14ac:dyDescent="0.2">
      <c r="B100" s="23">
        <v>0.4</v>
      </c>
      <c r="C100" s="23">
        <v>0.3</v>
      </c>
      <c r="D100" s="23">
        <v>0.3</v>
      </c>
      <c r="E100" s="87"/>
      <c r="F100" s="87"/>
      <c r="G100" s="87"/>
      <c r="H100" s="87"/>
      <c r="I100" s="86"/>
      <c r="J100" s="86"/>
    </row>
    <row r="101" spans="1:10" ht="30.75" customHeight="1" x14ac:dyDescent="0.2">
      <c r="B101" s="87"/>
      <c r="C101" s="87"/>
      <c r="D101" s="87"/>
      <c r="E101" s="87"/>
      <c r="F101" s="87"/>
      <c r="G101" s="87"/>
      <c r="H101" s="87"/>
      <c r="I101" s="86"/>
      <c r="J101" s="86"/>
    </row>
    <row r="102" spans="1:10" x14ac:dyDescent="0.2">
      <c r="A102" s="89" t="s">
        <v>89</v>
      </c>
      <c r="C102" s="86"/>
      <c r="D102" s="86"/>
      <c r="E102" s="86"/>
      <c r="F102" s="86"/>
      <c r="G102" s="86"/>
      <c r="H102" s="86"/>
      <c r="I102" s="86"/>
      <c r="J102" s="86"/>
    </row>
    <row r="103" spans="1:10" ht="12.75" customHeight="1" x14ac:dyDescent="0.2">
      <c r="A103" s="90" t="s">
        <v>91</v>
      </c>
      <c r="C103" s="86"/>
      <c r="D103" s="86"/>
      <c r="E103" s="86"/>
      <c r="F103" s="86"/>
      <c r="G103" s="86"/>
      <c r="H103" s="86"/>
      <c r="I103" s="86"/>
      <c r="J103" s="86"/>
    </row>
    <row r="104" spans="1:10" x14ac:dyDescent="0.2">
      <c r="A104" s="91">
        <f>15*A95*B100</f>
        <v>43.305000000000007</v>
      </c>
      <c r="C104" s="86"/>
      <c r="D104" s="86"/>
      <c r="E104" s="86"/>
      <c r="F104" s="86"/>
      <c r="G104" s="86"/>
      <c r="H104" s="86"/>
      <c r="I104" s="86"/>
      <c r="J104" s="86"/>
    </row>
    <row r="105" spans="1:10" x14ac:dyDescent="0.2">
      <c r="A105" s="92"/>
    </row>
    <row r="106" spans="1:10" x14ac:dyDescent="0.2">
      <c r="A106" s="133" t="s">
        <v>21</v>
      </c>
      <c r="B106" s="133"/>
      <c r="C106" s="133"/>
      <c r="E106" s="134" t="s">
        <v>22</v>
      </c>
      <c r="F106" s="135"/>
      <c r="G106" s="135"/>
      <c r="H106" s="135"/>
      <c r="I106" s="136"/>
    </row>
    <row r="107" spans="1:10" ht="63.75" x14ac:dyDescent="0.2">
      <c r="A107" s="34" t="s">
        <v>70</v>
      </c>
      <c r="B107" s="34" t="s">
        <v>19</v>
      </c>
      <c r="C107" s="34" t="s">
        <v>60</v>
      </c>
      <c r="D107" s="93" t="s">
        <v>20</v>
      </c>
      <c r="E107" s="34" t="s">
        <v>70</v>
      </c>
      <c r="F107" s="34" t="s">
        <v>71</v>
      </c>
      <c r="G107" s="34" t="s">
        <v>72</v>
      </c>
      <c r="H107" s="46" t="s">
        <v>64</v>
      </c>
      <c r="I107" s="46" t="s">
        <v>73</v>
      </c>
    </row>
    <row r="108" spans="1:10" x14ac:dyDescent="0.2">
      <c r="A108" s="106">
        <f>A104*4.1</f>
        <v>177.5505</v>
      </c>
      <c r="B108" s="106">
        <f>A108*0.85</f>
        <v>150.917925</v>
      </c>
      <c r="C108" s="105">
        <f>(B108*1000)/4800</f>
        <v>31.441234374999997</v>
      </c>
      <c r="D108" s="94"/>
      <c r="E108" s="102">
        <f>A104*4.1</f>
        <v>177.5505</v>
      </c>
      <c r="F108" s="102">
        <f>E108*0.35</f>
        <v>62.142674999999997</v>
      </c>
      <c r="G108" s="102">
        <f>E108*0.55</f>
        <v>97.652775000000005</v>
      </c>
      <c r="H108" s="105">
        <f>F108*1000/4800</f>
        <v>12.946390624999999</v>
      </c>
      <c r="I108" s="105">
        <f>G108*1000/4800</f>
        <v>20.344328125000001</v>
      </c>
    </row>
    <row r="110" spans="1:10" ht="12.75" customHeight="1" x14ac:dyDescent="0.2">
      <c r="A110" s="63" t="s">
        <v>20</v>
      </c>
    </row>
    <row r="112" spans="1:10" x14ac:dyDescent="0.2">
      <c r="A112" s="89" t="s">
        <v>90</v>
      </c>
    </row>
    <row r="113" spans="1:9" x14ac:dyDescent="0.2">
      <c r="A113" s="95" t="s">
        <v>91</v>
      </c>
    </row>
    <row r="114" spans="1:9" x14ac:dyDescent="0.2">
      <c r="A114" s="91">
        <f>10*A95*C100</f>
        <v>21.6525</v>
      </c>
    </row>
    <row r="116" spans="1:9" x14ac:dyDescent="0.2">
      <c r="A116" s="133" t="s">
        <v>21</v>
      </c>
      <c r="B116" s="133"/>
      <c r="C116" s="133"/>
      <c r="E116" s="137" t="s">
        <v>22</v>
      </c>
      <c r="F116" s="138"/>
      <c r="G116" s="138"/>
      <c r="H116" s="138"/>
      <c r="I116" s="139"/>
    </row>
    <row r="117" spans="1:9" ht="63.75" x14ac:dyDescent="0.2">
      <c r="A117" s="34" t="s">
        <v>70</v>
      </c>
      <c r="B117" s="34" t="s">
        <v>19</v>
      </c>
      <c r="C117" s="34" t="s">
        <v>60</v>
      </c>
      <c r="D117" s="93" t="s">
        <v>20</v>
      </c>
      <c r="E117" s="34" t="s">
        <v>70</v>
      </c>
      <c r="F117" s="34" t="s">
        <v>71</v>
      </c>
      <c r="G117" s="34" t="s">
        <v>72</v>
      </c>
      <c r="H117" s="46" t="s">
        <v>64</v>
      </c>
      <c r="I117" s="46" t="s">
        <v>73</v>
      </c>
    </row>
    <row r="118" spans="1:9" x14ac:dyDescent="0.2">
      <c r="A118" s="106">
        <f>A114*3.3</f>
        <v>71.453249999999997</v>
      </c>
      <c r="B118" s="106">
        <f>A118*0.85</f>
        <v>60.735262499999997</v>
      </c>
      <c r="C118" s="105">
        <f>(B118*1000)/4800</f>
        <v>12.6531796875</v>
      </c>
      <c r="D118" s="94"/>
      <c r="E118" s="102">
        <f>A114*3.3</f>
        <v>71.453249999999997</v>
      </c>
      <c r="F118" s="102">
        <f>E118*0.35</f>
        <v>25.008637499999999</v>
      </c>
      <c r="G118" s="102">
        <f>E118*0.55</f>
        <v>39.299287499999998</v>
      </c>
      <c r="H118" s="105">
        <f>F118*1000/4800</f>
        <v>5.2101328125000004</v>
      </c>
      <c r="I118" s="105">
        <f>G118*1000/4800</f>
        <v>8.1873515625</v>
      </c>
    </row>
    <row r="120" spans="1:9" x14ac:dyDescent="0.2">
      <c r="A120" s="63" t="s">
        <v>20</v>
      </c>
      <c r="B120" s="28" t="s">
        <v>7</v>
      </c>
    </row>
    <row r="122" spans="1:9" x14ac:dyDescent="0.2">
      <c r="A122" s="89" t="s">
        <v>92</v>
      </c>
    </row>
    <row r="124" spans="1:9" ht="38.25" x14ac:dyDescent="0.2">
      <c r="A124" s="34" t="s">
        <v>93</v>
      </c>
      <c r="B124" s="34" t="s">
        <v>94</v>
      </c>
    </row>
    <row r="125" spans="1:9" x14ac:dyDescent="0.2">
      <c r="A125" s="102">
        <f>A95*45*D100</f>
        <v>97.436250000000001</v>
      </c>
      <c r="B125" s="102">
        <f>120*A125</f>
        <v>11692.35</v>
      </c>
    </row>
    <row r="127" spans="1:9" x14ac:dyDescent="0.2">
      <c r="A127" s="128" t="s">
        <v>55</v>
      </c>
      <c r="B127" s="128"/>
      <c r="C127" s="128"/>
      <c r="D127" s="128"/>
      <c r="E127" s="128"/>
    </row>
    <row r="128" spans="1:9" ht="63.75" x14ac:dyDescent="0.2">
      <c r="A128" s="34" t="s">
        <v>56</v>
      </c>
      <c r="B128" s="34" t="s">
        <v>67</v>
      </c>
      <c r="C128" s="34" t="s">
        <v>74</v>
      </c>
      <c r="D128" s="34" t="s">
        <v>64</v>
      </c>
      <c r="E128" s="34" t="s">
        <v>68</v>
      </c>
    </row>
    <row r="129" spans="1:5" x14ac:dyDescent="0.2">
      <c r="A129" s="102">
        <f>(B125)*10</f>
        <v>116923.5</v>
      </c>
      <c r="B129" s="102">
        <f>0.4*A129</f>
        <v>46769.4</v>
      </c>
      <c r="C129" s="102">
        <f>0.5*A129</f>
        <v>58461.75</v>
      </c>
      <c r="D129" s="105">
        <f>B129/6500</f>
        <v>7.1952923076923083</v>
      </c>
      <c r="E129" s="105">
        <f>C129/6500</f>
        <v>8.9941153846153838</v>
      </c>
    </row>
    <row r="131" spans="1:5" x14ac:dyDescent="0.2">
      <c r="A131" s="31" t="s">
        <v>95</v>
      </c>
    </row>
    <row r="133" spans="1:5" x14ac:dyDescent="0.2">
      <c r="A133" s="89" t="s">
        <v>96</v>
      </c>
      <c r="C133" s="28" t="s">
        <v>7</v>
      </c>
    </row>
    <row r="135" spans="1:5" ht="25.5" x14ac:dyDescent="0.2">
      <c r="A135" s="34" t="s">
        <v>91</v>
      </c>
      <c r="B135" s="34" t="s">
        <v>79</v>
      </c>
    </row>
    <row r="136" spans="1:5" x14ac:dyDescent="0.2">
      <c r="A136" s="6">
        <v>0</v>
      </c>
      <c r="B136" s="55">
        <f>60*A136</f>
        <v>0</v>
      </c>
    </row>
    <row r="138" spans="1:5" x14ac:dyDescent="0.2">
      <c r="A138" s="128" t="s">
        <v>55</v>
      </c>
      <c r="B138" s="128"/>
      <c r="C138" s="128"/>
      <c r="D138" s="128"/>
      <c r="E138" s="128"/>
    </row>
    <row r="139" spans="1:5" ht="63.75" x14ac:dyDescent="0.2">
      <c r="A139" s="34" t="s">
        <v>56</v>
      </c>
      <c r="B139" s="34" t="s">
        <v>67</v>
      </c>
      <c r="C139" s="34" t="s">
        <v>74</v>
      </c>
      <c r="D139" s="34" t="s">
        <v>64</v>
      </c>
      <c r="E139" s="34" t="s">
        <v>68</v>
      </c>
    </row>
    <row r="140" spans="1:5" x14ac:dyDescent="0.2">
      <c r="A140" s="45">
        <f>(B136)*10</f>
        <v>0</v>
      </c>
      <c r="B140" s="45">
        <f>0.4*A140</f>
        <v>0</v>
      </c>
      <c r="C140" s="45">
        <f>0.5*A140</f>
        <v>0</v>
      </c>
      <c r="D140" s="45">
        <f>B140/6500</f>
        <v>0</v>
      </c>
      <c r="E140" s="45">
        <f>C140/6500</f>
        <v>0</v>
      </c>
    </row>
    <row r="142" spans="1:5" x14ac:dyDescent="0.2">
      <c r="A142" s="89" t="s">
        <v>97</v>
      </c>
      <c r="C142" s="31" t="s">
        <v>99</v>
      </c>
    </row>
    <row r="143" spans="1:5" x14ac:dyDescent="0.2">
      <c r="A143" s="89"/>
      <c r="C143" s="31"/>
    </row>
    <row r="144" spans="1:5" ht="28.5" customHeight="1" x14ac:dyDescent="0.2">
      <c r="A144" s="140" t="s">
        <v>101</v>
      </c>
      <c r="B144" s="141"/>
      <c r="C144" s="142"/>
      <c r="D144" s="7">
        <v>0</v>
      </c>
    </row>
    <row r="146" spans="1:5" ht="25.5" x14ac:dyDescent="0.2">
      <c r="A146" s="34" t="s">
        <v>98</v>
      </c>
      <c r="B146" s="34" t="s">
        <v>79</v>
      </c>
      <c r="D146" s="28" t="s">
        <v>7</v>
      </c>
    </row>
    <row r="147" spans="1:5" x14ac:dyDescent="0.2">
      <c r="A147" s="96">
        <f>D144*12</f>
        <v>0</v>
      </c>
      <c r="B147" s="58">
        <f>230*A147/1000</f>
        <v>0</v>
      </c>
    </row>
    <row r="149" spans="1:5" x14ac:dyDescent="0.2">
      <c r="A149" s="128" t="s">
        <v>55</v>
      </c>
      <c r="B149" s="128"/>
      <c r="C149" s="128"/>
      <c r="D149" s="128"/>
      <c r="E149" s="128"/>
    </row>
    <row r="150" spans="1:5" ht="63.75" x14ac:dyDescent="0.2">
      <c r="A150" s="34" t="s">
        <v>56</v>
      </c>
      <c r="B150" s="34" t="s">
        <v>67</v>
      </c>
      <c r="C150" s="34" t="s">
        <v>74</v>
      </c>
      <c r="D150" s="34" t="s">
        <v>64</v>
      </c>
      <c r="E150" s="34" t="s">
        <v>68</v>
      </c>
    </row>
    <row r="151" spans="1:5" x14ac:dyDescent="0.2">
      <c r="A151" s="45">
        <f>(B147)*10</f>
        <v>0</v>
      </c>
      <c r="B151" s="45">
        <f>0.4*A151</f>
        <v>0</v>
      </c>
      <c r="C151" s="45">
        <f>0.5*A151</f>
        <v>0</v>
      </c>
      <c r="D151" s="45">
        <f>B151/6500</f>
        <v>0</v>
      </c>
      <c r="E151" s="45">
        <f>C151/6500</f>
        <v>0</v>
      </c>
    </row>
    <row r="152" spans="1:5" x14ac:dyDescent="0.2">
      <c r="A152" s="97"/>
      <c r="B152" s="97"/>
      <c r="C152" s="97"/>
      <c r="D152" s="97"/>
      <c r="E152" s="97"/>
    </row>
    <row r="153" spans="1:5" x14ac:dyDescent="0.2">
      <c r="A153" s="31" t="s">
        <v>112</v>
      </c>
      <c r="B153" s="97"/>
      <c r="C153" s="97"/>
      <c r="D153" s="97"/>
      <c r="E153" s="97"/>
    </row>
    <row r="154" spans="1:5" x14ac:dyDescent="0.2">
      <c r="A154" s="31"/>
      <c r="B154" s="97"/>
      <c r="C154" s="97"/>
      <c r="D154" s="97"/>
      <c r="E154" s="97"/>
    </row>
    <row r="155" spans="1:5" ht="48" customHeight="1" x14ac:dyDescent="0.2">
      <c r="A155" s="129" t="s">
        <v>111</v>
      </c>
      <c r="B155" s="129"/>
      <c r="C155" s="129"/>
      <c r="D155" s="8">
        <v>0</v>
      </c>
      <c r="E155" s="97"/>
    </row>
    <row r="156" spans="1:5" x14ac:dyDescent="0.2">
      <c r="B156" s="97"/>
      <c r="C156" s="97"/>
      <c r="D156" s="97"/>
      <c r="E156" s="97"/>
    </row>
    <row r="157" spans="1:5" x14ac:dyDescent="0.2">
      <c r="A157" s="128" t="s">
        <v>55</v>
      </c>
      <c r="B157" s="128"/>
      <c r="C157" s="128"/>
      <c r="D157" s="128"/>
      <c r="E157" s="128"/>
    </row>
    <row r="158" spans="1:5" ht="63.75" x14ac:dyDescent="0.2">
      <c r="A158" s="34" t="s">
        <v>56</v>
      </c>
      <c r="B158" s="34" t="s">
        <v>67</v>
      </c>
      <c r="C158" s="34" t="s">
        <v>74</v>
      </c>
      <c r="D158" s="34" t="s">
        <v>64</v>
      </c>
      <c r="E158" s="34" t="s">
        <v>68</v>
      </c>
    </row>
    <row r="159" spans="1:5" x14ac:dyDescent="0.2">
      <c r="A159" s="102">
        <f>A73+A90+A129+A140+A151-D155</f>
        <v>245925.5</v>
      </c>
      <c r="B159" s="102">
        <f>0.4*A159</f>
        <v>98370.200000000012</v>
      </c>
      <c r="C159" s="102">
        <f>0.5*A159</f>
        <v>122962.75</v>
      </c>
      <c r="D159" s="102">
        <f>B159/6500</f>
        <v>15.133876923076924</v>
      </c>
      <c r="E159" s="102">
        <f>C159/6500</f>
        <v>18.917346153846154</v>
      </c>
    </row>
    <row r="160" spans="1:5" x14ac:dyDescent="0.2">
      <c r="A160" s="31"/>
    </row>
    <row r="161" spans="1:6" x14ac:dyDescent="0.2">
      <c r="A161" s="31" t="s">
        <v>235</v>
      </c>
      <c r="F161" s="99"/>
    </row>
    <row r="163" spans="1:6" ht="76.5" x14ac:dyDescent="0.2">
      <c r="A163" s="55" t="s">
        <v>102</v>
      </c>
      <c r="B163" s="34" t="s">
        <v>103</v>
      </c>
      <c r="C163" s="34" t="s">
        <v>104</v>
      </c>
      <c r="D163" s="34" t="s">
        <v>105</v>
      </c>
    </row>
    <row r="164" spans="1:6" x14ac:dyDescent="0.2">
      <c r="A164" s="55" t="s">
        <v>3</v>
      </c>
      <c r="B164" s="58">
        <v>2190</v>
      </c>
      <c r="C164" s="107">
        <f>E29</f>
        <v>0</v>
      </c>
      <c r="D164" s="107"/>
    </row>
    <row r="165" spans="1:6" x14ac:dyDescent="0.2">
      <c r="A165" s="55" t="s">
        <v>8</v>
      </c>
      <c r="B165" s="58">
        <v>3300</v>
      </c>
      <c r="C165" s="107">
        <f>G39</f>
        <v>0</v>
      </c>
      <c r="D165" s="107"/>
    </row>
    <row r="166" spans="1:6" x14ac:dyDescent="0.2">
      <c r="A166" s="55" t="s">
        <v>106</v>
      </c>
      <c r="B166" s="58">
        <v>4800</v>
      </c>
      <c r="C166" s="107">
        <f>E55+H108+H118</f>
        <v>477.25038593749997</v>
      </c>
      <c r="D166" s="107">
        <f>D49+F55+C108+I108+C118+I118</f>
        <v>1909.0015437500001</v>
      </c>
    </row>
    <row r="167" spans="1:6" x14ac:dyDescent="0.2">
      <c r="A167" s="55" t="s">
        <v>55</v>
      </c>
      <c r="B167" s="58">
        <v>6500</v>
      </c>
      <c r="C167" s="107">
        <f>D159</f>
        <v>15.133876923076924</v>
      </c>
      <c r="D167" s="107">
        <f>E159</f>
        <v>18.917346153846154</v>
      </c>
    </row>
    <row r="168" spans="1:6" x14ac:dyDescent="0.2">
      <c r="A168" s="55" t="s">
        <v>107</v>
      </c>
      <c r="B168" s="98">
        <v>1800</v>
      </c>
      <c r="C168" s="107"/>
      <c r="D168" s="107">
        <f>D43</f>
        <v>5588.78</v>
      </c>
    </row>
    <row r="169" spans="1:6" x14ac:dyDescent="0.2">
      <c r="A169" s="55" t="s">
        <v>108</v>
      </c>
      <c r="B169" s="58">
        <v>900</v>
      </c>
      <c r="C169" s="107"/>
      <c r="D169" s="107">
        <f>C24</f>
        <v>252.63333333333333</v>
      </c>
    </row>
    <row r="170" spans="1:6" ht="25.5" x14ac:dyDescent="0.2">
      <c r="A170" s="55" t="s">
        <v>109</v>
      </c>
      <c r="B170" s="58">
        <v>900</v>
      </c>
      <c r="C170" s="107">
        <f>M19</f>
        <v>89133.039377777764</v>
      </c>
      <c r="D170" s="107"/>
    </row>
  </sheetData>
  <sheetProtection sheet="1" objects="1" scenarios="1" formatCells="0" formatColumns="0" formatRows="0" insertColumns="0" insertRows="0" insertHyperlinks="0" deleteColumns="0" deleteRows="0" sort="0" autoFilter="0" pivotTables="0"/>
  <mergeCells count="49">
    <mergeCell ref="A157:E157"/>
    <mergeCell ref="A155:C155"/>
    <mergeCell ref="A11:C11"/>
    <mergeCell ref="A13:C13"/>
    <mergeCell ref="A14:C14"/>
    <mergeCell ref="A12:C12"/>
    <mergeCell ref="B59:M59"/>
    <mergeCell ref="A138:E138"/>
    <mergeCell ref="A149:E149"/>
    <mergeCell ref="A106:C106"/>
    <mergeCell ref="E106:I106"/>
    <mergeCell ref="A116:C116"/>
    <mergeCell ref="E116:I116"/>
    <mergeCell ref="A127:E127"/>
    <mergeCell ref="A144:C144"/>
    <mergeCell ref="N59:T59"/>
    <mergeCell ref="U59:U63"/>
    <mergeCell ref="V59:V63"/>
    <mergeCell ref="G61:G63"/>
    <mergeCell ref="H61:H63"/>
    <mergeCell ref="I61:M61"/>
    <mergeCell ref="R61:R63"/>
    <mergeCell ref="S61:S63"/>
    <mergeCell ref="T61:T63"/>
    <mergeCell ref="I62:I63"/>
    <mergeCell ref="J62:J63"/>
    <mergeCell ref="K62:M62"/>
    <mergeCell ref="W59:Y59"/>
    <mergeCell ref="B60:B63"/>
    <mergeCell ref="C60:E60"/>
    <mergeCell ref="F60:F63"/>
    <mergeCell ref="G60:M60"/>
    <mergeCell ref="N60:N63"/>
    <mergeCell ref="O60:O63"/>
    <mergeCell ref="P60:P63"/>
    <mergeCell ref="Q60:Q63"/>
    <mergeCell ref="R60:T60"/>
    <mergeCell ref="W60:W63"/>
    <mergeCell ref="X60:X63"/>
    <mergeCell ref="Y60:Y63"/>
    <mergeCell ref="C61:C63"/>
    <mergeCell ref="D61:D63"/>
    <mergeCell ref="E61:E63"/>
    <mergeCell ref="A10:C10"/>
    <mergeCell ref="A9:C9"/>
    <mergeCell ref="B95:H96"/>
    <mergeCell ref="B98:D98"/>
    <mergeCell ref="B5:C5"/>
    <mergeCell ref="B94:H94"/>
  </mergeCells>
  <pageMargins left="0.25" right="0.25" top="0.75" bottom="0.75" header="0.3" footer="0.3"/>
  <pageSetup paperSize="9" scale="42" fitToHeight="0" orientation="landscape" r:id="rId1"/>
  <legacyDrawing r:id="rId2"/>
  <extLst>
    <ext xmlns:x14="http://schemas.microsoft.com/office/spreadsheetml/2009/9/main" uri="{CCE6A557-97BC-4b89-ADB6-D9C93CAAB3DF}">
      <x14:dataValidations xmlns:xm="http://schemas.microsoft.com/office/excel/2006/main" count="1">
        <x14:dataValidation type="list" showInputMessage="1" showErrorMessage="1">
          <x14:formula1>
            <xm:f>'Superficie commune'!$A$3:$A$86</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22"/>
  <sheetViews>
    <sheetView workbookViewId="0">
      <selection activeCell="C9" sqref="C9"/>
    </sheetView>
  </sheetViews>
  <sheetFormatPr baseColWidth="10" defaultRowHeight="12.75" x14ac:dyDescent="0.2"/>
  <cols>
    <col min="1" max="1" width="3.25" customWidth="1"/>
    <col min="2" max="2" width="36.5" customWidth="1"/>
    <col min="3" max="3" width="33.125" customWidth="1"/>
  </cols>
  <sheetData>
    <row r="1" spans="1:4" x14ac:dyDescent="0.2">
      <c r="B1" s="2" t="s">
        <v>208</v>
      </c>
    </row>
    <row r="3" spans="1:4" x14ac:dyDescent="0.2">
      <c r="A3" s="16">
        <v>1</v>
      </c>
      <c r="B3" s="1" t="s">
        <v>234</v>
      </c>
      <c r="C3" s="18" t="s">
        <v>209</v>
      </c>
    </row>
    <row r="4" spans="1:4" x14ac:dyDescent="0.2">
      <c r="A4" s="16">
        <v>2</v>
      </c>
      <c r="B4" s="1" t="s">
        <v>210</v>
      </c>
      <c r="C4" s="18" t="s">
        <v>211</v>
      </c>
    </row>
    <row r="5" spans="1:4" x14ac:dyDescent="0.2">
      <c r="A5" s="16">
        <v>3</v>
      </c>
      <c r="B5" s="25" t="s">
        <v>212</v>
      </c>
      <c r="C5" s="21" t="s">
        <v>213</v>
      </c>
      <c r="D5" s="20"/>
    </row>
    <row r="6" spans="1:4" x14ac:dyDescent="0.2">
      <c r="A6" s="16">
        <v>4</v>
      </c>
      <c r="B6" s="1" t="s">
        <v>215</v>
      </c>
      <c r="C6" s="18" t="s">
        <v>214</v>
      </c>
    </row>
    <row r="7" spans="1:4" x14ac:dyDescent="0.2">
      <c r="A7" s="16">
        <v>5</v>
      </c>
      <c r="B7" s="1" t="s">
        <v>217</v>
      </c>
      <c r="C7" s="18" t="s">
        <v>216</v>
      </c>
    </row>
    <row r="8" spans="1:4" ht="28.5" customHeight="1" x14ac:dyDescent="0.2">
      <c r="A8" s="15">
        <v>6</v>
      </c>
      <c r="B8" s="3" t="s">
        <v>219</v>
      </c>
      <c r="C8" s="22" t="s">
        <v>218</v>
      </c>
    </row>
    <row r="9" spans="1:4" x14ac:dyDescent="0.2">
      <c r="A9" s="16">
        <v>7</v>
      </c>
      <c r="B9" s="1" t="s">
        <v>221</v>
      </c>
      <c r="C9" s="18" t="s">
        <v>220</v>
      </c>
    </row>
    <row r="10" spans="1:4" x14ac:dyDescent="0.2">
      <c r="A10" s="16">
        <v>8</v>
      </c>
      <c r="B10" s="1" t="s">
        <v>222</v>
      </c>
      <c r="C10" s="18" t="s">
        <v>213</v>
      </c>
    </row>
    <row r="11" spans="1:4" x14ac:dyDescent="0.2">
      <c r="A11" s="24">
        <v>9</v>
      </c>
      <c r="B11" s="5" t="s">
        <v>233</v>
      </c>
      <c r="C11" s="18" t="s">
        <v>232</v>
      </c>
    </row>
    <row r="12" spans="1:4" x14ac:dyDescent="0.2">
      <c r="A12" s="19" t="s">
        <v>7</v>
      </c>
    </row>
    <row r="13" spans="1:4" x14ac:dyDescent="0.2">
      <c r="A13" s="19" t="s">
        <v>7</v>
      </c>
    </row>
    <row r="14" spans="1:4" x14ac:dyDescent="0.2">
      <c r="A14" s="19" t="s">
        <v>7</v>
      </c>
    </row>
    <row r="15" spans="1:4" x14ac:dyDescent="0.2">
      <c r="A15" s="19" t="s">
        <v>7</v>
      </c>
    </row>
    <row r="16" spans="1:4" x14ac:dyDescent="0.2">
      <c r="A16" s="19" t="s">
        <v>7</v>
      </c>
    </row>
    <row r="17" spans="1:1" x14ac:dyDescent="0.2">
      <c r="A17" s="19" t="s">
        <v>7</v>
      </c>
    </row>
    <row r="18" spans="1:1" x14ac:dyDescent="0.2">
      <c r="A18" s="19" t="s">
        <v>7</v>
      </c>
    </row>
    <row r="19" spans="1:1" x14ac:dyDescent="0.2">
      <c r="A19" s="19" t="s">
        <v>7</v>
      </c>
    </row>
    <row r="20" spans="1:1" x14ac:dyDescent="0.2">
      <c r="A20" s="19" t="s">
        <v>7</v>
      </c>
    </row>
    <row r="21" spans="1:1" x14ac:dyDescent="0.2">
      <c r="A21" s="19" t="s">
        <v>7</v>
      </c>
    </row>
    <row r="22" spans="1:1" x14ac:dyDescent="0.2">
      <c r="A22" s="19" t="s">
        <v>7</v>
      </c>
    </row>
  </sheetData>
  <sheetProtection algorithmName="SHA-512" hashValue="QCXIepiqSsZo8Ly1L92pRzCl2PIlfueTEOgvXs+gLUXgCtZ2sN00zMKqQ/80T7CWvLnUp7fChOq/0t0CuVDWDA==" saltValue="TVmVaCuqfGticVfYRMMtbA==" spinCount="100000" sheet="1" objects="1" scenarios="1"/>
  <hyperlinks>
    <hyperlink ref="C3" r:id="rId1"/>
    <hyperlink ref="C4" r:id="rId2"/>
    <hyperlink ref="C5" r:id="rId3" location=".VynHNdJfzcs"/>
    <hyperlink ref="C6" r:id="rId4"/>
    <hyperlink ref="C7" r:id="rId5"/>
    <hyperlink ref="C8" r:id="rId6"/>
    <hyperlink ref="C9" r:id="rId7"/>
    <hyperlink ref="C10" r:id="rId8" location=".VynHNdJfzcs"/>
    <hyperlink ref="C11" r:id="rId9"/>
  </hyperlinks>
  <pageMargins left="0.7" right="0.7" top="0.75" bottom="0.75" header="0.3" footer="0.3"/>
  <pageSetup paperSize="9" orientation="portrait" r:id="rId10"/>
  <legacy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6"/>
  <sheetViews>
    <sheetView topLeftCell="B1" workbookViewId="0">
      <selection activeCell="E68" sqref="E68"/>
    </sheetView>
  </sheetViews>
  <sheetFormatPr baseColWidth="10" defaultRowHeight="12.75" x14ac:dyDescent="0.2"/>
  <cols>
    <col min="1" max="1" width="11" hidden="1" customWidth="1"/>
    <col min="3" max="3" width="25.375" style="26" bestFit="1" customWidth="1"/>
    <col min="4" max="4" width="5.875" bestFit="1" customWidth="1"/>
    <col min="5" max="5" width="22.25" style="26" bestFit="1" customWidth="1"/>
  </cols>
  <sheetData>
    <row r="1" spans="1:5" s="26" customFormat="1" ht="13.5" thickBot="1" x14ac:dyDescent="0.25">
      <c r="B1" s="110" t="s">
        <v>270</v>
      </c>
      <c r="C1" s="111" t="s">
        <v>116</v>
      </c>
      <c r="D1" s="111"/>
      <c r="E1" s="112" t="s">
        <v>321</v>
      </c>
    </row>
    <row r="2" spans="1:5" x14ac:dyDescent="0.2">
      <c r="B2" s="108">
        <v>2014</v>
      </c>
      <c r="C2" s="109" t="s">
        <v>271</v>
      </c>
      <c r="D2" s="108">
        <v>61003</v>
      </c>
      <c r="E2" s="109">
        <v>2760.79</v>
      </c>
    </row>
    <row r="3" spans="1:5" x14ac:dyDescent="0.2">
      <c r="A3" t="s">
        <v>117</v>
      </c>
      <c r="B3" s="1">
        <v>2014</v>
      </c>
      <c r="C3" s="4" t="s">
        <v>272</v>
      </c>
      <c r="D3" s="1">
        <v>63001</v>
      </c>
      <c r="E3" s="4">
        <v>12514.9</v>
      </c>
    </row>
    <row r="4" spans="1:5" x14ac:dyDescent="0.2">
      <c r="A4" t="s">
        <v>118</v>
      </c>
      <c r="B4" s="1">
        <v>2014</v>
      </c>
      <c r="C4" s="4" t="s">
        <v>273</v>
      </c>
      <c r="D4" s="1">
        <v>62003</v>
      </c>
      <c r="E4" s="4">
        <v>2335.23</v>
      </c>
    </row>
    <row r="5" spans="1:5" x14ac:dyDescent="0.2">
      <c r="A5" t="s">
        <v>119</v>
      </c>
      <c r="B5" s="1">
        <v>2014</v>
      </c>
      <c r="C5" s="4" t="s">
        <v>274</v>
      </c>
      <c r="D5" s="1">
        <v>61079</v>
      </c>
      <c r="E5" s="4">
        <v>3707.94</v>
      </c>
    </row>
    <row r="6" spans="1:5" x14ac:dyDescent="0.2">
      <c r="A6" t="s">
        <v>120</v>
      </c>
      <c r="B6" s="1">
        <v>2014</v>
      </c>
      <c r="C6" s="4" t="s">
        <v>275</v>
      </c>
      <c r="D6" s="1">
        <v>63003</v>
      </c>
      <c r="E6" s="4">
        <v>1883.31</v>
      </c>
    </row>
    <row r="7" spans="1:5" x14ac:dyDescent="0.2">
      <c r="A7" t="s">
        <v>121</v>
      </c>
      <c r="B7" s="1">
        <v>2014</v>
      </c>
      <c r="C7" s="4" t="s">
        <v>276</v>
      </c>
      <c r="D7" s="1">
        <v>62006</v>
      </c>
      <c r="E7" s="4">
        <v>2715.7</v>
      </c>
    </row>
    <row r="8" spans="1:5" x14ac:dyDescent="0.2">
      <c r="A8" t="s">
        <v>122</v>
      </c>
      <c r="B8" s="1">
        <v>2014</v>
      </c>
      <c r="C8" s="4" t="s">
        <v>277</v>
      </c>
      <c r="D8" s="1">
        <v>62009</v>
      </c>
      <c r="E8" s="4">
        <v>7997.2</v>
      </c>
    </row>
    <row r="9" spans="1:5" x14ac:dyDescent="0.2">
      <c r="A9" t="s">
        <v>123</v>
      </c>
      <c r="B9" s="1">
        <v>2014</v>
      </c>
      <c r="C9" s="4" t="s">
        <v>278</v>
      </c>
      <c r="D9" s="1">
        <v>63004</v>
      </c>
      <c r="E9" s="4">
        <v>8572.76</v>
      </c>
    </row>
    <row r="10" spans="1:5" x14ac:dyDescent="0.2">
      <c r="A10" t="s">
        <v>124</v>
      </c>
      <c r="B10" s="1">
        <v>2014</v>
      </c>
      <c r="C10" s="4" t="s">
        <v>279</v>
      </c>
      <c r="D10" s="1">
        <v>62011</v>
      </c>
      <c r="E10" s="4">
        <v>3817.22</v>
      </c>
    </row>
    <row r="11" spans="1:5" x14ac:dyDescent="0.2">
      <c r="A11" t="s">
        <v>125</v>
      </c>
      <c r="B11" s="1">
        <v>2014</v>
      </c>
      <c r="C11" s="4" t="s">
        <v>280</v>
      </c>
      <c r="D11" s="1">
        <v>64008</v>
      </c>
      <c r="E11" s="4">
        <v>1448.91</v>
      </c>
    </row>
    <row r="12" spans="1:5" x14ac:dyDescent="0.2">
      <c r="A12" t="s">
        <v>126</v>
      </c>
      <c r="B12" s="1">
        <v>2014</v>
      </c>
      <c r="C12" s="4" t="s">
        <v>281</v>
      </c>
      <c r="D12" s="1">
        <v>62015</v>
      </c>
      <c r="E12" s="4">
        <v>732.03</v>
      </c>
    </row>
    <row r="13" spans="1:5" x14ac:dyDescent="0.2">
      <c r="A13" t="s">
        <v>127</v>
      </c>
      <c r="B13" s="1">
        <v>2014</v>
      </c>
      <c r="C13" s="4" t="s">
        <v>282</v>
      </c>
      <c r="D13" s="1">
        <v>62119</v>
      </c>
      <c r="E13" s="4">
        <v>2607.06</v>
      </c>
    </row>
    <row r="14" spans="1:5" x14ac:dyDescent="0.2">
      <c r="A14" t="s">
        <v>128</v>
      </c>
      <c r="B14" s="1">
        <v>2014</v>
      </c>
      <c r="C14" s="4" t="s">
        <v>283</v>
      </c>
      <c r="D14" s="1">
        <v>64015</v>
      </c>
      <c r="E14" s="4">
        <v>4399.67</v>
      </c>
    </row>
    <row r="15" spans="1:5" x14ac:dyDescent="0.2">
      <c r="A15" t="s">
        <v>129</v>
      </c>
      <c r="B15" s="1">
        <v>2014</v>
      </c>
      <c r="C15" s="4" t="s">
        <v>284</v>
      </c>
      <c r="D15" s="1">
        <v>63012</v>
      </c>
      <c r="E15" s="4">
        <v>15048.6</v>
      </c>
    </row>
    <row r="16" spans="1:5" x14ac:dyDescent="0.2">
      <c r="A16" t="s">
        <v>130</v>
      </c>
      <c r="B16" s="1">
        <v>2014</v>
      </c>
      <c r="C16" s="4" t="s">
        <v>285</v>
      </c>
      <c r="D16" s="1">
        <v>61010</v>
      </c>
      <c r="E16" s="4">
        <v>3256.99</v>
      </c>
    </row>
    <row r="17" spans="1:5" x14ac:dyDescent="0.2">
      <c r="A17" t="s">
        <v>131</v>
      </c>
      <c r="B17" s="1">
        <v>2014</v>
      </c>
      <c r="C17" s="4" t="s">
        <v>286</v>
      </c>
      <c r="D17" s="1">
        <v>63087</v>
      </c>
      <c r="E17" s="4">
        <v>10896</v>
      </c>
    </row>
    <row r="18" spans="1:5" x14ac:dyDescent="0.2">
      <c r="A18" t="s">
        <v>132</v>
      </c>
      <c r="B18" s="1">
        <v>2014</v>
      </c>
      <c r="C18" s="4" t="s">
        <v>287</v>
      </c>
      <c r="D18" s="1">
        <v>63013</v>
      </c>
      <c r="E18" s="4">
        <v>9731.3799999999992</v>
      </c>
    </row>
    <row r="19" spans="1:5" x14ac:dyDescent="0.2">
      <c r="A19" t="s">
        <v>133</v>
      </c>
      <c r="B19" s="1">
        <v>2014</v>
      </c>
      <c r="C19" s="4" t="s">
        <v>288</v>
      </c>
      <c r="D19" s="1">
        <v>62022</v>
      </c>
      <c r="E19" s="4">
        <v>2551.61</v>
      </c>
    </row>
    <row r="20" spans="1:5" x14ac:dyDescent="0.2">
      <c r="A20" t="s">
        <v>134</v>
      </c>
      <c r="B20" s="1">
        <v>2014</v>
      </c>
      <c r="C20" s="4" t="s">
        <v>289</v>
      </c>
      <c r="D20" s="1">
        <v>61012</v>
      </c>
      <c r="E20" s="4">
        <v>7912.2</v>
      </c>
    </row>
    <row r="21" spans="1:5" x14ac:dyDescent="0.2">
      <c r="A21" t="s">
        <v>135</v>
      </c>
      <c r="B21" s="1">
        <v>2014</v>
      </c>
      <c r="C21" s="4" t="s">
        <v>290</v>
      </c>
      <c r="D21" s="1">
        <v>62026</v>
      </c>
      <c r="E21" s="4">
        <v>2267.77</v>
      </c>
    </row>
    <row r="22" spans="1:5" x14ac:dyDescent="0.2">
      <c r="A22" t="s">
        <v>136</v>
      </c>
      <c r="B22" s="1">
        <v>2014</v>
      </c>
      <c r="C22" s="4" t="s">
        <v>291</v>
      </c>
      <c r="D22" s="1">
        <v>64021</v>
      </c>
      <c r="E22" s="4">
        <v>1683.13</v>
      </c>
    </row>
    <row r="23" spans="1:5" x14ac:dyDescent="0.2">
      <c r="A23" t="s">
        <v>137</v>
      </c>
      <c r="B23" s="1">
        <v>2014</v>
      </c>
      <c r="C23" s="4" t="s">
        <v>292</v>
      </c>
      <c r="D23" s="1">
        <v>62027</v>
      </c>
      <c r="E23" s="4">
        <v>3605.83</v>
      </c>
    </row>
    <row r="24" spans="1:5" x14ac:dyDescent="0.2">
      <c r="A24" t="s">
        <v>138</v>
      </c>
      <c r="B24" s="1">
        <v>2014</v>
      </c>
      <c r="C24" s="4" t="s">
        <v>293</v>
      </c>
      <c r="D24" s="1">
        <v>63020</v>
      </c>
      <c r="E24" s="4">
        <v>1400.54</v>
      </c>
    </row>
    <row r="25" spans="1:5" x14ac:dyDescent="0.2">
      <c r="A25" t="s">
        <v>139</v>
      </c>
      <c r="B25" s="1">
        <v>2014</v>
      </c>
      <c r="C25" s="4" t="s">
        <v>294</v>
      </c>
      <c r="D25" s="1">
        <v>64023</v>
      </c>
      <c r="E25" s="4">
        <v>2330.89</v>
      </c>
    </row>
    <row r="26" spans="1:5" x14ac:dyDescent="0.2">
      <c r="A26" t="s">
        <v>140</v>
      </c>
      <c r="B26" s="1">
        <v>2014</v>
      </c>
      <c r="C26" s="4" t="s">
        <v>295</v>
      </c>
      <c r="D26" s="1">
        <v>61080</v>
      </c>
      <c r="E26" s="4">
        <v>2774.15</v>
      </c>
    </row>
    <row r="27" spans="1:5" x14ac:dyDescent="0.2">
      <c r="A27" t="s">
        <v>141</v>
      </c>
      <c r="B27" s="1">
        <v>2014</v>
      </c>
      <c r="C27" s="4" t="s">
        <v>296</v>
      </c>
      <c r="D27" s="1">
        <v>62032</v>
      </c>
      <c r="E27" s="4">
        <v>3404.58</v>
      </c>
    </row>
    <row r="28" spans="1:5" x14ac:dyDescent="0.2">
      <c r="A28" t="s">
        <v>142</v>
      </c>
      <c r="B28" s="1">
        <v>2014</v>
      </c>
      <c r="C28" s="4" t="s">
        <v>297</v>
      </c>
      <c r="D28" s="1">
        <v>63023</v>
      </c>
      <c r="E28" s="4">
        <v>10374.4</v>
      </c>
    </row>
    <row r="29" spans="1:5" x14ac:dyDescent="0.2">
      <c r="A29" t="s">
        <v>143</v>
      </c>
      <c r="B29" s="1">
        <v>2014</v>
      </c>
      <c r="C29" s="4" t="s">
        <v>298</v>
      </c>
      <c r="D29" s="1">
        <v>64076</v>
      </c>
      <c r="E29" s="4">
        <v>2847.81</v>
      </c>
    </row>
    <row r="30" spans="1:5" x14ac:dyDescent="0.2">
      <c r="A30" t="s">
        <v>144</v>
      </c>
      <c r="B30" s="1">
        <v>2014</v>
      </c>
      <c r="C30" s="4" t="s">
        <v>299</v>
      </c>
      <c r="D30" s="1">
        <v>61019</v>
      </c>
      <c r="E30" s="4">
        <v>5690.3</v>
      </c>
    </row>
    <row r="31" spans="1:5" x14ac:dyDescent="0.2">
      <c r="A31" t="s">
        <v>145</v>
      </c>
      <c r="B31" s="1">
        <v>2014</v>
      </c>
      <c r="C31" s="4" t="s">
        <v>300</v>
      </c>
      <c r="D31" s="1">
        <v>64025</v>
      </c>
      <c r="E31" s="4">
        <v>1925.25</v>
      </c>
    </row>
    <row r="32" spans="1:5" x14ac:dyDescent="0.2">
      <c r="A32" t="s">
        <v>146</v>
      </c>
      <c r="B32" s="1">
        <v>2014</v>
      </c>
      <c r="C32" s="4" t="s">
        <v>301</v>
      </c>
      <c r="D32" s="1">
        <v>62120</v>
      </c>
      <c r="E32" s="4">
        <v>3668.08</v>
      </c>
    </row>
    <row r="33" spans="1:5" x14ac:dyDescent="0.2">
      <c r="A33" t="s">
        <v>147</v>
      </c>
      <c r="B33" s="1">
        <v>2014</v>
      </c>
      <c r="C33" s="4" t="s">
        <v>302</v>
      </c>
      <c r="D33" s="1">
        <v>62038</v>
      </c>
      <c r="E33" s="4">
        <v>1372.43</v>
      </c>
    </row>
    <row r="34" spans="1:5" x14ac:dyDescent="0.2">
      <c r="A34" t="s">
        <v>148</v>
      </c>
      <c r="B34" s="1">
        <v>2014</v>
      </c>
      <c r="C34" s="4" t="s">
        <v>303</v>
      </c>
      <c r="D34" s="1">
        <v>64029</v>
      </c>
      <c r="E34" s="4">
        <v>2362.37</v>
      </c>
    </row>
    <row r="35" spans="1:5" x14ac:dyDescent="0.2">
      <c r="A35" t="s">
        <v>149</v>
      </c>
      <c r="B35" s="1">
        <v>2014</v>
      </c>
      <c r="C35" s="4" t="s">
        <v>304</v>
      </c>
      <c r="D35" s="1">
        <v>62118</v>
      </c>
      <c r="E35" s="4">
        <v>3423.83</v>
      </c>
    </row>
    <row r="36" spans="1:5" x14ac:dyDescent="0.2">
      <c r="A36" t="s">
        <v>150</v>
      </c>
      <c r="B36" s="1">
        <v>2014</v>
      </c>
      <c r="C36" s="4" t="s">
        <v>305</v>
      </c>
      <c r="D36" s="1">
        <v>61024</v>
      </c>
      <c r="E36" s="4">
        <v>2780.19</v>
      </c>
    </row>
    <row r="37" spans="1:5" x14ac:dyDescent="0.2">
      <c r="A37" t="s">
        <v>151</v>
      </c>
      <c r="B37" s="1">
        <v>2014</v>
      </c>
      <c r="C37" s="4" t="s">
        <v>306</v>
      </c>
      <c r="D37" s="1">
        <v>64034</v>
      </c>
      <c r="E37" s="4">
        <v>8653.15</v>
      </c>
    </row>
    <row r="38" spans="1:5" x14ac:dyDescent="0.2">
      <c r="A38" t="s">
        <v>152</v>
      </c>
      <c r="B38" s="1">
        <v>2014</v>
      </c>
      <c r="C38" s="4" t="s">
        <v>307</v>
      </c>
      <c r="D38" s="1">
        <v>61028</v>
      </c>
      <c r="E38" s="4">
        <v>3831.8</v>
      </c>
    </row>
    <row r="39" spans="1:5" x14ac:dyDescent="0.2">
      <c r="A39" t="s">
        <v>153</v>
      </c>
      <c r="B39" s="1">
        <v>2014</v>
      </c>
      <c r="C39" s="4" t="s">
        <v>308</v>
      </c>
      <c r="D39" s="1">
        <v>62051</v>
      </c>
      <c r="E39" s="4">
        <v>2354.15</v>
      </c>
    </row>
    <row r="40" spans="1:5" x14ac:dyDescent="0.2">
      <c r="A40" t="s">
        <v>154</v>
      </c>
      <c r="B40" s="1">
        <v>2014</v>
      </c>
      <c r="C40" s="4" t="s">
        <v>309</v>
      </c>
      <c r="D40" s="1">
        <v>63035</v>
      </c>
      <c r="E40" s="4">
        <v>5684</v>
      </c>
    </row>
    <row r="41" spans="1:5" x14ac:dyDescent="0.2">
      <c r="A41" t="s">
        <v>155</v>
      </c>
      <c r="B41" s="1">
        <v>2014</v>
      </c>
      <c r="C41" s="4" t="s">
        <v>310</v>
      </c>
      <c r="D41" s="1">
        <v>61031</v>
      </c>
      <c r="E41" s="4">
        <v>4774.4399999999996</v>
      </c>
    </row>
    <row r="42" spans="1:5" x14ac:dyDescent="0.2">
      <c r="A42" t="s">
        <v>156</v>
      </c>
      <c r="B42" s="1">
        <v>2014</v>
      </c>
      <c r="C42" s="4" t="s">
        <v>311</v>
      </c>
      <c r="D42" s="1">
        <v>63038</v>
      </c>
      <c r="E42" s="4">
        <v>10775.4</v>
      </c>
    </row>
    <row r="43" spans="1:5" x14ac:dyDescent="0.2">
      <c r="A43" t="s">
        <v>157</v>
      </c>
      <c r="B43" s="1">
        <v>2014</v>
      </c>
      <c r="C43" s="4" t="s">
        <v>312</v>
      </c>
      <c r="D43" s="1">
        <v>62060</v>
      </c>
      <c r="E43" s="4">
        <v>3535.75</v>
      </c>
    </row>
    <row r="44" spans="1:5" x14ac:dyDescent="0.2">
      <c r="A44" t="s">
        <v>158</v>
      </c>
      <c r="B44" s="1">
        <v>2014</v>
      </c>
      <c r="C44" s="4" t="s">
        <v>313</v>
      </c>
      <c r="D44" s="1">
        <v>63040</v>
      </c>
      <c r="E44" s="4">
        <v>1812.18</v>
      </c>
    </row>
    <row r="45" spans="1:5" x14ac:dyDescent="0.2">
      <c r="A45" t="s">
        <v>159</v>
      </c>
      <c r="B45" s="1">
        <v>2014</v>
      </c>
      <c r="C45" s="4" t="s">
        <v>314</v>
      </c>
      <c r="D45" s="1">
        <v>62063</v>
      </c>
      <c r="E45" s="4">
        <v>6939.18</v>
      </c>
    </row>
    <row r="46" spans="1:5" x14ac:dyDescent="0.2">
      <c r="A46" t="s">
        <v>160</v>
      </c>
      <c r="B46" s="1">
        <v>2014</v>
      </c>
      <c r="C46" s="4" t="s">
        <v>315</v>
      </c>
      <c r="D46" s="1">
        <v>63045</v>
      </c>
      <c r="E46" s="4">
        <v>9207.89</v>
      </c>
    </row>
    <row r="47" spans="1:5" x14ac:dyDescent="0.2">
      <c r="A47" t="s">
        <v>161</v>
      </c>
      <c r="B47" s="1">
        <v>2014</v>
      </c>
      <c r="C47" s="4" t="s">
        <v>316</v>
      </c>
      <c r="D47" s="1">
        <v>63046</v>
      </c>
      <c r="E47" s="4">
        <v>2462.9</v>
      </c>
    </row>
    <row r="48" spans="1:5" x14ac:dyDescent="0.2">
      <c r="A48" t="s">
        <v>162</v>
      </c>
      <c r="B48" s="1">
        <v>2014</v>
      </c>
      <c r="C48" s="4" t="s">
        <v>317</v>
      </c>
      <c r="D48" s="1">
        <v>64047</v>
      </c>
      <c r="E48" s="4">
        <v>1474.54</v>
      </c>
    </row>
    <row r="49" spans="1:5" x14ac:dyDescent="0.2">
      <c r="A49" t="s">
        <v>163</v>
      </c>
      <c r="B49" s="1">
        <v>2014</v>
      </c>
      <c r="C49" s="4" t="s">
        <v>318</v>
      </c>
      <c r="D49" s="1">
        <v>63048</v>
      </c>
      <c r="E49" s="4">
        <v>2873.02</v>
      </c>
    </row>
    <row r="50" spans="1:5" x14ac:dyDescent="0.2">
      <c r="A50" t="s">
        <v>164</v>
      </c>
      <c r="B50" s="1">
        <v>2014</v>
      </c>
      <c r="C50" s="4" t="s">
        <v>319</v>
      </c>
      <c r="D50" s="1">
        <v>63049</v>
      </c>
      <c r="E50" s="4">
        <v>9996.4</v>
      </c>
    </row>
    <row r="51" spans="1:5" x14ac:dyDescent="0.2">
      <c r="A51" t="s">
        <v>165</v>
      </c>
      <c r="B51" s="1">
        <v>2014</v>
      </c>
      <c r="C51" s="4" t="s">
        <v>320</v>
      </c>
      <c r="D51" s="1">
        <v>61039</v>
      </c>
      <c r="E51" s="4">
        <v>3000.06</v>
      </c>
    </row>
    <row r="52" spans="1:5" x14ac:dyDescent="0.2">
      <c r="A52" t="s">
        <v>166</v>
      </c>
      <c r="B52" s="1">
        <v>2014</v>
      </c>
      <c r="C52" s="4" t="s">
        <v>236</v>
      </c>
      <c r="D52" s="1">
        <v>61041</v>
      </c>
      <c r="E52" s="4">
        <v>4037.07</v>
      </c>
    </row>
    <row r="53" spans="1:5" x14ac:dyDescent="0.2">
      <c r="A53" t="s">
        <v>167</v>
      </c>
      <c r="B53" s="1">
        <v>2014</v>
      </c>
      <c r="C53" s="4" t="s">
        <v>237</v>
      </c>
      <c r="D53" s="1">
        <v>61043</v>
      </c>
      <c r="E53" s="4">
        <v>3589.57</v>
      </c>
    </row>
    <row r="54" spans="1:5" x14ac:dyDescent="0.2">
      <c r="A54" t="s">
        <v>168</v>
      </c>
      <c r="B54" s="1">
        <v>2014</v>
      </c>
      <c r="C54" s="4" t="s">
        <v>238</v>
      </c>
      <c r="D54" s="1">
        <v>62121</v>
      </c>
      <c r="E54" s="4">
        <v>3169.08</v>
      </c>
    </row>
    <row r="55" spans="1:5" x14ac:dyDescent="0.2">
      <c r="A55" t="s">
        <v>169</v>
      </c>
      <c r="B55" s="1">
        <v>2014</v>
      </c>
      <c r="C55" s="4" t="s">
        <v>239</v>
      </c>
      <c r="D55" s="1">
        <v>63057</v>
      </c>
      <c r="E55" s="4">
        <v>1598.56</v>
      </c>
    </row>
    <row r="56" spans="1:5" x14ac:dyDescent="0.2">
      <c r="A56" t="s">
        <v>170</v>
      </c>
      <c r="B56" s="1">
        <v>2014</v>
      </c>
      <c r="C56" s="4" t="s">
        <v>240</v>
      </c>
      <c r="D56" s="1">
        <v>64056</v>
      </c>
      <c r="E56" s="4">
        <v>1963.59</v>
      </c>
    </row>
    <row r="57" spans="1:5" x14ac:dyDescent="0.2">
      <c r="A57" t="s">
        <v>171</v>
      </c>
      <c r="B57" s="1">
        <v>2014</v>
      </c>
      <c r="C57" s="4" t="s">
        <v>241</v>
      </c>
      <c r="D57" s="1">
        <v>61048</v>
      </c>
      <c r="E57" s="4">
        <v>4021.77</v>
      </c>
    </row>
    <row r="58" spans="1:5" x14ac:dyDescent="0.2">
      <c r="A58" t="s">
        <v>172</v>
      </c>
      <c r="B58" s="1">
        <v>2014</v>
      </c>
      <c r="C58" s="4" t="s">
        <v>242</v>
      </c>
      <c r="D58" s="1">
        <v>62079</v>
      </c>
      <c r="E58" s="4">
        <v>3611.45</v>
      </c>
    </row>
    <row r="59" spans="1:5" x14ac:dyDescent="0.2">
      <c r="A59" t="s">
        <v>173</v>
      </c>
      <c r="B59" s="1">
        <v>2014</v>
      </c>
      <c r="C59" s="4" t="s">
        <v>243</v>
      </c>
      <c r="D59" s="1">
        <v>63058</v>
      </c>
      <c r="E59" s="4">
        <v>2479.27</v>
      </c>
    </row>
    <row r="60" spans="1:5" x14ac:dyDescent="0.2">
      <c r="A60" t="s">
        <v>174</v>
      </c>
      <c r="B60" s="1">
        <v>2014</v>
      </c>
      <c r="C60" s="4" t="s">
        <v>244</v>
      </c>
      <c r="D60" s="1">
        <v>63088</v>
      </c>
      <c r="E60" s="4">
        <v>5317.56</v>
      </c>
    </row>
    <row r="61" spans="1:5" x14ac:dyDescent="0.2">
      <c r="A61" t="s">
        <v>175</v>
      </c>
      <c r="B61" s="1">
        <v>2014</v>
      </c>
      <c r="C61" s="4" t="s">
        <v>245</v>
      </c>
      <c r="D61" s="1">
        <v>63061</v>
      </c>
      <c r="E61" s="4">
        <v>7421.4</v>
      </c>
    </row>
    <row r="62" spans="1:5" x14ac:dyDescent="0.2">
      <c r="A62" t="s">
        <v>176</v>
      </c>
      <c r="B62" s="1">
        <v>2014</v>
      </c>
      <c r="C62" s="4" t="s">
        <v>246</v>
      </c>
      <c r="D62" s="1">
        <v>64063</v>
      </c>
      <c r="E62" s="4">
        <v>2258.1799999999998</v>
      </c>
    </row>
    <row r="63" spans="1:5" x14ac:dyDescent="0.2">
      <c r="A63" t="s">
        <v>177</v>
      </c>
      <c r="B63" s="1">
        <v>2014</v>
      </c>
      <c r="C63" s="4" t="s">
        <v>247</v>
      </c>
      <c r="D63" s="1">
        <v>64065</v>
      </c>
      <c r="E63" s="4">
        <v>2089.61</v>
      </c>
    </row>
    <row r="64" spans="1:5" x14ac:dyDescent="0.2">
      <c r="A64" t="s">
        <v>178</v>
      </c>
      <c r="B64" s="1">
        <v>2014</v>
      </c>
      <c r="C64" s="4" t="s">
        <v>248</v>
      </c>
      <c r="D64" s="1">
        <v>62093</v>
      </c>
      <c r="E64" s="4">
        <v>684.21</v>
      </c>
    </row>
    <row r="65" spans="1:5" x14ac:dyDescent="0.2">
      <c r="A65" t="s">
        <v>179</v>
      </c>
      <c r="B65" s="1">
        <v>2014</v>
      </c>
      <c r="C65" s="4" t="s">
        <v>249</v>
      </c>
      <c r="D65" s="1">
        <v>63067</v>
      </c>
      <c r="E65" s="4">
        <v>14692.8</v>
      </c>
    </row>
    <row r="66" spans="1:5" x14ac:dyDescent="0.2">
      <c r="A66" t="s">
        <v>180</v>
      </c>
      <c r="B66" s="1">
        <v>2014</v>
      </c>
      <c r="C66" s="4" t="s">
        <v>250</v>
      </c>
      <c r="D66" s="1">
        <v>62096</v>
      </c>
      <c r="E66" s="4">
        <v>3533.6</v>
      </c>
    </row>
    <row r="67" spans="1:5" x14ac:dyDescent="0.2">
      <c r="A67" t="s">
        <v>181</v>
      </c>
      <c r="B67" s="1">
        <v>2014</v>
      </c>
      <c r="C67" s="4" t="s">
        <v>251</v>
      </c>
      <c r="D67" s="1">
        <v>62099</v>
      </c>
      <c r="E67" s="4">
        <v>2713.75</v>
      </c>
    </row>
    <row r="68" spans="1:5" x14ac:dyDescent="0.2">
      <c r="A68" t="s">
        <v>182</v>
      </c>
      <c r="B68" s="1">
        <v>2014</v>
      </c>
      <c r="C68" s="4" t="s">
        <v>252</v>
      </c>
      <c r="D68" s="1">
        <v>63072</v>
      </c>
      <c r="E68" s="4">
        <v>3984.87</v>
      </c>
    </row>
    <row r="69" spans="1:5" x14ac:dyDescent="0.2">
      <c r="A69" t="s">
        <v>183</v>
      </c>
      <c r="B69" s="1">
        <v>2014</v>
      </c>
      <c r="C69" s="4" t="s">
        <v>253</v>
      </c>
      <c r="D69" s="1">
        <v>62100</v>
      </c>
      <c r="E69" s="4">
        <v>7428.27</v>
      </c>
    </row>
    <row r="70" spans="1:5" x14ac:dyDescent="0.2">
      <c r="A70" t="s">
        <v>184</v>
      </c>
      <c r="B70" s="1">
        <v>2014</v>
      </c>
      <c r="C70" s="4" t="s">
        <v>254</v>
      </c>
      <c r="D70" s="1">
        <v>63073</v>
      </c>
      <c r="E70" s="4">
        <v>8507.19</v>
      </c>
    </row>
    <row r="71" spans="1:5" x14ac:dyDescent="0.2">
      <c r="A71" t="s">
        <v>185</v>
      </c>
      <c r="B71" s="1">
        <v>2014</v>
      </c>
      <c r="C71" s="4" t="s">
        <v>255</v>
      </c>
      <c r="D71" s="1">
        <v>63075</v>
      </c>
      <c r="E71" s="4">
        <v>10844.8</v>
      </c>
    </row>
    <row r="72" spans="1:5" x14ac:dyDescent="0.2">
      <c r="A72" t="s">
        <v>186</v>
      </c>
      <c r="B72" s="1">
        <v>2014</v>
      </c>
      <c r="C72" s="4" t="s">
        <v>256</v>
      </c>
      <c r="D72" s="1">
        <v>63076</v>
      </c>
      <c r="E72" s="4">
        <v>8336.11</v>
      </c>
    </row>
    <row r="73" spans="1:5" x14ac:dyDescent="0.2">
      <c r="A73" t="s">
        <v>187</v>
      </c>
      <c r="B73" s="1">
        <v>2014</v>
      </c>
      <c r="C73" s="4" t="s">
        <v>257</v>
      </c>
      <c r="D73" s="1">
        <v>63089</v>
      </c>
      <c r="E73" s="4">
        <v>2869.13</v>
      </c>
    </row>
    <row r="74" spans="1:5" x14ac:dyDescent="0.2">
      <c r="A74" t="s">
        <v>188</v>
      </c>
      <c r="B74" s="1">
        <v>2014</v>
      </c>
      <c r="C74" s="4" t="s">
        <v>258</v>
      </c>
      <c r="D74" s="1">
        <v>61081</v>
      </c>
      <c r="E74" s="4">
        <v>3711.59</v>
      </c>
    </row>
    <row r="75" spans="1:5" x14ac:dyDescent="0.2">
      <c r="A75" t="s">
        <v>189</v>
      </c>
      <c r="B75" s="1">
        <v>2014</v>
      </c>
      <c r="C75" s="4" t="s">
        <v>259</v>
      </c>
      <c r="D75" s="1">
        <v>63086</v>
      </c>
      <c r="E75" s="4">
        <v>6889.75</v>
      </c>
    </row>
    <row r="76" spans="1:5" x14ac:dyDescent="0.2">
      <c r="A76" t="s">
        <v>190</v>
      </c>
      <c r="B76" s="1">
        <v>2014</v>
      </c>
      <c r="C76" s="4" t="s">
        <v>260</v>
      </c>
      <c r="D76" s="1">
        <v>62122</v>
      </c>
      <c r="E76" s="4">
        <v>2419.52</v>
      </c>
    </row>
    <row r="77" spans="1:5" x14ac:dyDescent="0.2">
      <c r="A77" t="s">
        <v>191</v>
      </c>
      <c r="B77" s="1">
        <v>2014</v>
      </c>
      <c r="C77" s="4" t="s">
        <v>261</v>
      </c>
      <c r="D77" s="1">
        <v>61063</v>
      </c>
      <c r="E77" s="4">
        <v>2421.2199999999998</v>
      </c>
    </row>
    <row r="78" spans="1:5" x14ac:dyDescent="0.2">
      <c r="A78" t="s">
        <v>192</v>
      </c>
      <c r="B78" s="1">
        <v>2014</v>
      </c>
      <c r="C78" s="4" t="s">
        <v>262</v>
      </c>
      <c r="D78" s="1">
        <v>63079</v>
      </c>
      <c r="E78" s="4">
        <v>3307.39</v>
      </c>
    </row>
    <row r="79" spans="1:5" x14ac:dyDescent="0.2">
      <c r="A79" t="s">
        <v>193</v>
      </c>
      <c r="B79" s="1">
        <v>2014</v>
      </c>
      <c r="C79" s="4" t="s">
        <v>263</v>
      </c>
      <c r="D79" s="1">
        <v>61068</v>
      </c>
      <c r="E79" s="4">
        <v>3270.62</v>
      </c>
    </row>
    <row r="80" spans="1:5" x14ac:dyDescent="0.2">
      <c r="A80" t="s">
        <v>194</v>
      </c>
      <c r="B80" s="1">
        <v>2014</v>
      </c>
      <c r="C80" s="4" t="s">
        <v>264</v>
      </c>
      <c r="D80" s="1">
        <v>62108</v>
      </c>
      <c r="E80" s="4">
        <v>2799.19</v>
      </c>
    </row>
    <row r="81" spans="1:5" x14ac:dyDescent="0.2">
      <c r="A81" t="s">
        <v>195</v>
      </c>
      <c r="B81" s="1">
        <v>2014</v>
      </c>
      <c r="C81" s="4" t="s">
        <v>265</v>
      </c>
      <c r="D81" s="1">
        <v>63080</v>
      </c>
      <c r="E81" s="4">
        <v>9693.06</v>
      </c>
    </row>
    <row r="82" spans="1:5" x14ac:dyDescent="0.2">
      <c r="A82" t="s">
        <v>196</v>
      </c>
      <c r="B82" s="1">
        <v>2014</v>
      </c>
      <c r="C82" s="4" t="s">
        <v>266</v>
      </c>
      <c r="D82" s="1">
        <v>61072</v>
      </c>
      <c r="E82" s="4">
        <v>4395.47</v>
      </c>
    </row>
    <row r="83" spans="1:5" x14ac:dyDescent="0.2">
      <c r="A83" t="s">
        <v>197</v>
      </c>
      <c r="B83" s="1">
        <v>2014</v>
      </c>
      <c r="C83" s="4" t="s">
        <v>267</v>
      </c>
      <c r="D83" s="1">
        <v>64074</v>
      </c>
      <c r="E83" s="4">
        <v>3104.33</v>
      </c>
    </row>
    <row r="84" spans="1:5" x14ac:dyDescent="0.2">
      <c r="A84" t="s">
        <v>198</v>
      </c>
      <c r="B84" s="1">
        <v>2014</v>
      </c>
      <c r="C84" s="4" t="s">
        <v>268</v>
      </c>
      <c r="D84" s="1">
        <v>64075</v>
      </c>
      <c r="E84" s="4">
        <v>2444.6999999999998</v>
      </c>
    </row>
    <row r="85" spans="1:5" x14ac:dyDescent="0.2">
      <c r="A85" t="s">
        <v>199</v>
      </c>
      <c r="B85" s="1">
        <v>2014</v>
      </c>
      <c r="C85" s="4" t="s">
        <v>269</v>
      </c>
      <c r="D85" s="1">
        <v>63084</v>
      </c>
      <c r="E85" s="4">
        <v>2446.63</v>
      </c>
    </row>
    <row r="86" spans="1:5" x14ac:dyDescent="0.2">
      <c r="A86" t="s">
        <v>200</v>
      </c>
    </row>
  </sheetData>
  <sheetProtection algorithmName="SHA-512" hashValue="5Qv0AXEL6MvXFNmHy0Bk0DPBXCWWLO7xZTtexz+0dC2yi/EoztshDrI9HhvjnOL3gEISrmMbz/tLxcLkn8wQrA==" saltValue="QmEVp5y8eVOxzfefttzb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Evaluation</vt:lpstr>
      <vt:lpstr>Liens utiles</vt:lpstr>
      <vt:lpstr>Superficie commune</vt:lpstr>
    </vt:vector>
  </TitlesOfParts>
  <Company>Province de Liège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Benoit VINCENT</dc:creator>
  <cp:lastModifiedBy>energie</cp:lastModifiedBy>
  <cp:lastPrinted>2018-07-20T09:13:03Z</cp:lastPrinted>
  <dcterms:created xsi:type="dcterms:W3CDTF">2016-05-02T07:16:00Z</dcterms:created>
  <dcterms:modified xsi:type="dcterms:W3CDTF">2019-05-28T10:27:53Z</dcterms:modified>
</cp:coreProperties>
</file>